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OneDrive\NOTEBOOK DELL\HD DO NOTEBOOK\HD EXTERNO 2022\2024\PM_REMEDIOS\BANHEIROS QUADRA CAEIROS\"/>
    </mc:Choice>
  </mc:AlternateContent>
  <xr:revisionPtr revIDLastSave="0" documentId="13_ncr:1_{F8C4A537-8B1A-4D7A-8B34-B6DB0727C27C}" xr6:coauthVersionLast="47" xr6:coauthVersionMax="47" xr10:uidLastSave="{00000000-0000-0000-0000-000000000000}"/>
  <bookViews>
    <workbookView xWindow="-108" yWindow="-108" windowWidth="23256" windowHeight="12456" tabRatio="602" xr2:uid="{00000000-000D-0000-FFFF-FFFF00000000}"/>
  </bookViews>
  <sheets>
    <sheet name="PLAN ORÇ" sheetId="6" r:id="rId1"/>
    <sheet name="MM CALC" sheetId="21" r:id="rId2"/>
    <sheet name="CRON" sheetId="7" r:id="rId3"/>
    <sheet name="MM CALC AÇO" sheetId="30" r:id="rId4"/>
  </sheets>
  <externalReferences>
    <externalReference r:id="rId5"/>
  </externalReferences>
  <definedNames>
    <definedName name="_xlnm._FilterDatabase" localSheetId="2" hidden="1">CRON!$A$9:$H$9</definedName>
    <definedName name="_xlnm._FilterDatabase" localSheetId="1" hidden="1">'MM CALC'!$A$7:$J$101</definedName>
    <definedName name="_xlnm._FilterDatabase" localSheetId="0" hidden="1">'PLAN ORÇ'!$B$11:$P$106</definedName>
    <definedName name="_xlnm.Print_Area" localSheetId="2">CRON!$A$1:$F$51</definedName>
    <definedName name="_xlnm.Print_Area" localSheetId="1">'MM CALC'!$A$1:$G$110</definedName>
    <definedName name="_xlnm.Print_Area" localSheetId="0">'PLAN ORÇ'!$B$1:$J$112</definedName>
    <definedName name="_xlnm.Database">TEXT([1]Dados!$G$29,"mm-aaaa")</definedName>
    <definedName name="Fonte" localSheetId="1">'MM CALC'!#REF!</definedName>
    <definedName name="Fonte">'PLAN ORÇ'!$J1</definedName>
    <definedName name="nao" localSheetId="1">#REF!</definedName>
    <definedName name="nao">#REF!</definedName>
    <definedName name="_xlnm.Print_Titles" localSheetId="1">'MM CALC'!$1:$7</definedName>
    <definedName name="_xlnm.Print_Titles" localSheetId="0">'PLAN ORÇ'!$1:$11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7" l="1"/>
  <c r="E19" i="7"/>
  <c r="E17" i="7"/>
  <c r="E42" i="7"/>
  <c r="E25" i="7"/>
  <c r="E23" i="7"/>
  <c r="B6" i="6"/>
  <c r="F42" i="7"/>
  <c r="D42" i="7"/>
  <c r="B40" i="7"/>
  <c r="B38" i="7"/>
  <c r="F101" i="21"/>
  <c r="E75" i="6"/>
  <c r="E58" i="6"/>
  <c r="E50" i="6"/>
  <c r="F92" i="21" l="1"/>
  <c r="F91" i="21"/>
  <c r="E44" i="6" l="1"/>
  <c r="F31" i="21"/>
  <c r="F29" i="21"/>
  <c r="I29" i="6"/>
  <c r="F29" i="6"/>
  <c r="F24" i="21"/>
  <c r="F25" i="21"/>
  <c r="G29" i="6" s="1"/>
  <c r="C29" i="6"/>
  <c r="D29" i="6"/>
  <c r="E29" i="6"/>
  <c r="E21" i="6"/>
  <c r="J29" i="6" l="1"/>
  <c r="E45" i="6" l="1"/>
  <c r="F34" i="21" l="1"/>
  <c r="F39" i="21" l="1"/>
  <c r="F38" i="21"/>
  <c r="I105" i="6" l="1"/>
  <c r="I103" i="6"/>
  <c r="I102" i="6"/>
  <c r="I101" i="6"/>
  <c r="I100" i="6"/>
  <c r="I99" i="6"/>
  <c r="I98" i="6"/>
  <c r="I97" i="6"/>
  <c r="I96" i="6"/>
  <c r="I95" i="6"/>
  <c r="I93" i="6"/>
  <c r="I92" i="6"/>
  <c r="I90" i="6"/>
  <c r="I89" i="6"/>
  <c r="I88" i="6"/>
  <c r="I87" i="6"/>
  <c r="I86" i="6"/>
  <c r="I85" i="6"/>
  <c r="I83" i="6"/>
  <c r="I82" i="6"/>
  <c r="I81" i="6"/>
  <c r="I79" i="6"/>
  <c r="I78" i="6"/>
  <c r="I77" i="6"/>
  <c r="I76" i="6"/>
  <c r="I75" i="6"/>
  <c r="I74" i="6"/>
  <c r="I73" i="6"/>
  <c r="I72" i="6"/>
  <c r="I70" i="6"/>
  <c r="I69" i="6"/>
  <c r="I68" i="6"/>
  <c r="I67" i="6"/>
  <c r="I65" i="6"/>
  <c r="I64" i="6"/>
  <c r="I63" i="6"/>
  <c r="I62" i="6"/>
  <c r="I61" i="6"/>
  <c r="I60" i="6"/>
  <c r="I59" i="6"/>
  <c r="I58" i="6"/>
  <c r="I57" i="6"/>
  <c r="I56" i="6"/>
  <c r="I55" i="6"/>
  <c r="I54" i="6"/>
  <c r="I53" i="6"/>
  <c r="I52" i="6"/>
  <c r="I51" i="6"/>
  <c r="I50" i="6"/>
  <c r="I49" i="6"/>
  <c r="I48" i="6"/>
  <c r="I46" i="6"/>
  <c r="I45" i="6"/>
  <c r="I44" i="6"/>
  <c r="I43" i="6"/>
  <c r="I42" i="6"/>
  <c r="I40" i="6"/>
  <c r="I39" i="6"/>
  <c r="I38" i="6"/>
  <c r="I37" i="6"/>
  <c r="I36" i="6"/>
  <c r="I35" i="6"/>
  <c r="I33" i="6"/>
  <c r="I31" i="6"/>
  <c r="I28" i="6"/>
  <c r="I27" i="6"/>
  <c r="I25" i="6"/>
  <c r="I24" i="6"/>
  <c r="I23" i="6"/>
  <c r="I22" i="6"/>
  <c r="I21" i="6"/>
  <c r="I20" i="6"/>
  <c r="I18" i="6"/>
  <c r="I17" i="6"/>
  <c r="I16" i="6"/>
  <c r="F14" i="21"/>
  <c r="F18" i="21"/>
  <c r="F19" i="21"/>
  <c r="C90" i="6"/>
  <c r="D90" i="6"/>
  <c r="E90" i="6"/>
  <c r="F90" i="6"/>
  <c r="F86" i="21"/>
  <c r="G90" i="6" s="1"/>
  <c r="F27" i="21"/>
  <c r="C101" i="6"/>
  <c r="D101" i="6"/>
  <c r="E101" i="6"/>
  <c r="F101" i="6"/>
  <c r="F99" i="21"/>
  <c r="F97" i="21"/>
  <c r="G101" i="6" s="1"/>
  <c r="F61" i="21"/>
  <c r="G65" i="6" s="1"/>
  <c r="F105" i="6"/>
  <c r="E105" i="6"/>
  <c r="D105" i="6"/>
  <c r="C105" i="6"/>
  <c r="F103" i="6"/>
  <c r="E103" i="6"/>
  <c r="D103" i="6"/>
  <c r="C103" i="6"/>
  <c r="F102" i="6"/>
  <c r="E102" i="6"/>
  <c r="D102" i="6"/>
  <c r="C102" i="6"/>
  <c r="F100" i="6"/>
  <c r="E100" i="6"/>
  <c r="D100" i="6"/>
  <c r="C100" i="6"/>
  <c r="F99" i="6"/>
  <c r="E99" i="6"/>
  <c r="D99" i="6"/>
  <c r="C99" i="6"/>
  <c r="F98" i="6"/>
  <c r="E98" i="6"/>
  <c r="D98" i="6"/>
  <c r="C98" i="6"/>
  <c r="F97" i="6"/>
  <c r="E97" i="6"/>
  <c r="D97" i="6"/>
  <c r="C97" i="6"/>
  <c r="F96" i="6"/>
  <c r="E96" i="6"/>
  <c r="D96" i="6"/>
  <c r="C96" i="6"/>
  <c r="F95" i="6"/>
  <c r="E95" i="6"/>
  <c r="D95" i="6"/>
  <c r="C95" i="6"/>
  <c r="F93" i="6"/>
  <c r="E93" i="6"/>
  <c r="D93" i="6"/>
  <c r="C93" i="6"/>
  <c r="F92" i="6"/>
  <c r="E92" i="6"/>
  <c r="D92" i="6"/>
  <c r="C92" i="6"/>
  <c r="F89" i="6"/>
  <c r="E89" i="6"/>
  <c r="D89" i="6"/>
  <c r="C89" i="6"/>
  <c r="F88" i="6"/>
  <c r="E88" i="6"/>
  <c r="D88" i="6"/>
  <c r="C88" i="6"/>
  <c r="F87" i="6"/>
  <c r="E87" i="6"/>
  <c r="D87" i="6"/>
  <c r="C87" i="6"/>
  <c r="F86" i="6"/>
  <c r="E86" i="6"/>
  <c r="D86" i="6"/>
  <c r="C86" i="6"/>
  <c r="F85" i="6"/>
  <c r="E85" i="6"/>
  <c r="D85" i="6"/>
  <c r="C85" i="6"/>
  <c r="F83" i="6"/>
  <c r="E83" i="6"/>
  <c r="D83" i="6"/>
  <c r="C83" i="6"/>
  <c r="B83" i="6"/>
  <c r="F82" i="6"/>
  <c r="E82" i="6"/>
  <c r="D82" i="6"/>
  <c r="C82" i="6"/>
  <c r="B82" i="6"/>
  <c r="G81" i="6"/>
  <c r="F81" i="6"/>
  <c r="E81" i="6"/>
  <c r="D81" i="6"/>
  <c r="C81" i="6"/>
  <c r="B81" i="6"/>
  <c r="F79" i="6"/>
  <c r="E79" i="6"/>
  <c r="D79" i="6"/>
  <c r="C79" i="6"/>
  <c r="F78" i="6"/>
  <c r="E78" i="6"/>
  <c r="D78" i="6"/>
  <c r="C78" i="6"/>
  <c r="F77" i="6"/>
  <c r="E77" i="6"/>
  <c r="D77" i="6"/>
  <c r="C77" i="6"/>
  <c r="F76" i="6"/>
  <c r="E76" i="6"/>
  <c r="D76" i="6"/>
  <c r="C76" i="6"/>
  <c r="G75" i="6"/>
  <c r="F75" i="6"/>
  <c r="D75" i="6"/>
  <c r="C75" i="6"/>
  <c r="G74" i="6"/>
  <c r="F74" i="6"/>
  <c r="E74" i="6"/>
  <c r="D74" i="6"/>
  <c r="C74" i="6"/>
  <c r="G73" i="6"/>
  <c r="F73" i="6"/>
  <c r="E73" i="6"/>
  <c r="D73" i="6"/>
  <c r="C73" i="6"/>
  <c r="G72" i="6"/>
  <c r="F72" i="6"/>
  <c r="E72" i="6"/>
  <c r="D72" i="6"/>
  <c r="C72" i="6"/>
  <c r="F70" i="6"/>
  <c r="E70" i="6"/>
  <c r="D70" i="6"/>
  <c r="C70" i="6"/>
  <c r="F69" i="6"/>
  <c r="E69" i="6"/>
  <c r="D69" i="6"/>
  <c r="C69" i="6"/>
  <c r="F68" i="6"/>
  <c r="E68" i="6"/>
  <c r="D68" i="6"/>
  <c r="C68" i="6"/>
  <c r="F67" i="6"/>
  <c r="E67" i="6"/>
  <c r="D67" i="6"/>
  <c r="C67" i="6"/>
  <c r="F65" i="6"/>
  <c r="E65" i="6"/>
  <c r="D65" i="6"/>
  <c r="C65" i="6"/>
  <c r="G64" i="6"/>
  <c r="F64" i="6"/>
  <c r="E64" i="6"/>
  <c r="D64" i="6"/>
  <c r="C64" i="6"/>
  <c r="F63" i="6"/>
  <c r="E63" i="6"/>
  <c r="D63" i="6"/>
  <c r="C63" i="6"/>
  <c r="F62" i="6"/>
  <c r="E62" i="6"/>
  <c r="D62" i="6"/>
  <c r="C62" i="6"/>
  <c r="F61" i="6"/>
  <c r="E61" i="6"/>
  <c r="D61" i="6"/>
  <c r="C61" i="6"/>
  <c r="F60" i="6"/>
  <c r="E60" i="6"/>
  <c r="D60" i="6"/>
  <c r="C60" i="6"/>
  <c r="G59" i="6"/>
  <c r="F59" i="6"/>
  <c r="E59" i="6"/>
  <c r="D59" i="6"/>
  <c r="C59" i="6"/>
  <c r="G58" i="6"/>
  <c r="F58" i="6"/>
  <c r="D58" i="6"/>
  <c r="C58" i="6"/>
  <c r="G57" i="6"/>
  <c r="F57" i="6"/>
  <c r="E57" i="6"/>
  <c r="D57" i="6"/>
  <c r="C57" i="6"/>
  <c r="F56" i="6"/>
  <c r="E56" i="6"/>
  <c r="D56" i="6"/>
  <c r="C56" i="6"/>
  <c r="F55" i="6"/>
  <c r="E55" i="6"/>
  <c r="D55" i="6"/>
  <c r="C55" i="6"/>
  <c r="F54" i="6"/>
  <c r="E54" i="6"/>
  <c r="D54" i="6"/>
  <c r="C54" i="6"/>
  <c r="F53" i="6"/>
  <c r="E53" i="6"/>
  <c r="D53" i="6"/>
  <c r="C53" i="6"/>
  <c r="F52" i="6"/>
  <c r="E52" i="6"/>
  <c r="D52" i="6"/>
  <c r="C52" i="6"/>
  <c r="G51" i="6"/>
  <c r="F51" i="6"/>
  <c r="E51" i="6"/>
  <c r="D51" i="6"/>
  <c r="C51" i="6"/>
  <c r="F50" i="6"/>
  <c r="D50" i="6"/>
  <c r="C50" i="6"/>
  <c r="F49" i="6"/>
  <c r="E49" i="6"/>
  <c r="D49" i="6"/>
  <c r="C49" i="6"/>
  <c r="F48" i="6"/>
  <c r="E48" i="6"/>
  <c r="D48" i="6"/>
  <c r="C48" i="6"/>
  <c r="F46" i="6"/>
  <c r="E46" i="6"/>
  <c r="D46" i="6"/>
  <c r="C46" i="6"/>
  <c r="F45" i="6"/>
  <c r="D45" i="6"/>
  <c r="C45" i="6"/>
  <c r="F44" i="6"/>
  <c r="D44" i="6"/>
  <c r="C44" i="6"/>
  <c r="F43" i="6"/>
  <c r="E43" i="6"/>
  <c r="D43" i="6"/>
  <c r="C43" i="6"/>
  <c r="F42" i="6"/>
  <c r="E42" i="6"/>
  <c r="D42" i="6"/>
  <c r="C42" i="6"/>
  <c r="F40" i="6"/>
  <c r="E40" i="6"/>
  <c r="D40" i="6"/>
  <c r="C40" i="6"/>
  <c r="F39" i="6"/>
  <c r="E39" i="6"/>
  <c r="D39" i="6"/>
  <c r="C39" i="6"/>
  <c r="F38" i="6"/>
  <c r="E38" i="6"/>
  <c r="D38" i="6"/>
  <c r="C38" i="6"/>
  <c r="F37" i="6"/>
  <c r="E37" i="6"/>
  <c r="D37" i="6"/>
  <c r="C37" i="6"/>
  <c r="F36" i="6"/>
  <c r="E36" i="6"/>
  <c r="D36" i="6"/>
  <c r="C36" i="6"/>
  <c r="G35" i="6"/>
  <c r="F35" i="6"/>
  <c r="E35" i="6"/>
  <c r="D35" i="6"/>
  <c r="C35" i="6"/>
  <c r="F33" i="6"/>
  <c r="E33" i="6"/>
  <c r="D33" i="6"/>
  <c r="C33" i="6"/>
  <c r="F31" i="6"/>
  <c r="E31" i="6"/>
  <c r="D31" i="6"/>
  <c r="C31" i="6"/>
  <c r="F28" i="6"/>
  <c r="E28" i="6"/>
  <c r="D28" i="6"/>
  <c r="C28" i="6"/>
  <c r="F27" i="6"/>
  <c r="E27" i="6"/>
  <c r="D27" i="6"/>
  <c r="C27" i="6"/>
  <c r="F25" i="6"/>
  <c r="E25" i="6"/>
  <c r="D25" i="6"/>
  <c r="C25" i="6"/>
  <c r="F24" i="6"/>
  <c r="E24" i="6"/>
  <c r="D24" i="6"/>
  <c r="C24" i="6"/>
  <c r="F23" i="6"/>
  <c r="E23" i="6"/>
  <c r="D23" i="6"/>
  <c r="C23" i="6"/>
  <c r="F22" i="6"/>
  <c r="E22" i="6"/>
  <c r="D22" i="6"/>
  <c r="C22" i="6"/>
  <c r="F21" i="6"/>
  <c r="D21" i="6"/>
  <c r="C21" i="6"/>
  <c r="F20" i="6"/>
  <c r="E20" i="6"/>
  <c r="D20" i="6"/>
  <c r="C20" i="6"/>
  <c r="F18" i="6"/>
  <c r="E18" i="6"/>
  <c r="D18" i="6"/>
  <c r="C18" i="6"/>
  <c r="F17" i="6"/>
  <c r="E17" i="6"/>
  <c r="D17" i="6"/>
  <c r="C17" i="6"/>
  <c r="F16" i="6"/>
  <c r="E16" i="6"/>
  <c r="D16" i="6"/>
  <c r="C16" i="6"/>
  <c r="B14" i="6"/>
  <c r="I14" i="6"/>
  <c r="J57" i="6" l="1"/>
  <c r="J65" i="6"/>
  <c r="J74" i="6"/>
  <c r="J101" i="6"/>
  <c r="J58" i="6"/>
  <c r="J72" i="6"/>
  <c r="J75" i="6"/>
  <c r="J35" i="6"/>
  <c r="J51" i="6"/>
  <c r="J59" i="6"/>
  <c r="J73" i="6"/>
  <c r="J81" i="6"/>
  <c r="J90" i="6"/>
  <c r="J64" i="6"/>
  <c r="L105" i="6"/>
  <c r="L106" i="6" s="1"/>
  <c r="F98" i="21"/>
  <c r="G102" i="6" s="1"/>
  <c r="J102" i="6" s="1"/>
  <c r="F94" i="21"/>
  <c r="G98" i="6" s="1"/>
  <c r="J98" i="6" s="1"/>
  <c r="F95" i="21"/>
  <c r="G99" i="6" s="1"/>
  <c r="J99" i="6" s="1"/>
  <c r="G103" i="6"/>
  <c r="J103" i="6" s="1"/>
  <c r="G95" i="6"/>
  <c r="J95" i="6" s="1"/>
  <c r="G96" i="6" l="1"/>
  <c r="J96" i="6" s="1"/>
  <c r="F65" i="21" l="1"/>
  <c r="G69" i="6" s="1"/>
  <c r="J69" i="6" s="1"/>
  <c r="F89" i="21" l="1"/>
  <c r="G93" i="6" s="1"/>
  <c r="J93" i="6" s="1"/>
  <c r="F88" i="21"/>
  <c r="G92" i="6" s="1"/>
  <c r="J92" i="6" s="1"/>
  <c r="F84" i="21"/>
  <c r="G88" i="6" s="1"/>
  <c r="J88" i="6" s="1"/>
  <c r="F82" i="21"/>
  <c r="G86" i="6" s="1"/>
  <c r="J86" i="6" s="1"/>
  <c r="F85" i="21"/>
  <c r="G89" i="6" s="1"/>
  <c r="J89" i="6" s="1"/>
  <c r="F83" i="21"/>
  <c r="G87" i="6" s="1"/>
  <c r="J87" i="6" s="1"/>
  <c r="F81" i="21"/>
  <c r="F79" i="21"/>
  <c r="G83" i="6" s="1"/>
  <c r="J83" i="6" s="1"/>
  <c r="F78" i="21"/>
  <c r="G82" i="6" s="1"/>
  <c r="J82" i="6" s="1"/>
  <c r="F75" i="21"/>
  <c r="G79" i="6" s="1"/>
  <c r="J79" i="6" s="1"/>
  <c r="F74" i="21"/>
  <c r="G78" i="6" s="1"/>
  <c r="J78" i="6" s="1"/>
  <c r="F73" i="21"/>
  <c r="G77" i="6" s="1"/>
  <c r="J77" i="6" s="1"/>
  <c r="F72" i="21"/>
  <c r="G76" i="6" s="1"/>
  <c r="J76" i="6" s="1"/>
  <c r="F64" i="21"/>
  <c r="G68" i="6" s="1"/>
  <c r="J68" i="6" s="1"/>
  <c r="F59" i="21"/>
  <c r="G63" i="6" s="1"/>
  <c r="J63" i="6" s="1"/>
  <c r="F58" i="21"/>
  <c r="G62" i="6" s="1"/>
  <c r="J62" i="6" s="1"/>
  <c r="F57" i="21"/>
  <c r="G61" i="6" s="1"/>
  <c r="J61" i="6" s="1"/>
  <c r="F56" i="21"/>
  <c r="G60" i="6" s="1"/>
  <c r="J60" i="6" s="1"/>
  <c r="F52" i="21"/>
  <c r="G56" i="6" s="1"/>
  <c r="J56" i="6" s="1"/>
  <c r="F51" i="21"/>
  <c r="G55" i="6" s="1"/>
  <c r="J55" i="6" s="1"/>
  <c r="F50" i="21"/>
  <c r="G54" i="6" s="1"/>
  <c r="J54" i="6" s="1"/>
  <c r="F49" i="21"/>
  <c r="G53" i="6" s="1"/>
  <c r="J53" i="6" s="1"/>
  <c r="F48" i="21"/>
  <c r="G52" i="6" s="1"/>
  <c r="J52" i="6" s="1"/>
  <c r="F46" i="21"/>
  <c r="G50" i="6" s="1"/>
  <c r="J50" i="6" s="1"/>
  <c r="F45" i="21"/>
  <c r="G49" i="6" s="1"/>
  <c r="J49" i="6" s="1"/>
  <c r="F44" i="21"/>
  <c r="G48" i="6" s="1"/>
  <c r="J48" i="6" s="1"/>
  <c r="F42" i="21"/>
  <c r="G46" i="6" s="1"/>
  <c r="J46" i="6" s="1"/>
  <c r="F41" i="21"/>
  <c r="G45" i="6" s="1"/>
  <c r="J45" i="6" s="1"/>
  <c r="F40" i="21"/>
  <c r="G44" i="6" s="1"/>
  <c r="J44" i="6" s="1"/>
  <c r="G43" i="6"/>
  <c r="J43" i="6" s="1"/>
  <c r="G42" i="6"/>
  <c r="J42" i="6" s="1"/>
  <c r="F36" i="21"/>
  <c r="G40" i="6" s="1"/>
  <c r="J40" i="6" s="1"/>
  <c r="G38" i="6"/>
  <c r="J38" i="6" s="1"/>
  <c r="F33" i="21"/>
  <c r="G37" i="6" s="1"/>
  <c r="J37" i="6" s="1"/>
  <c r="F35" i="21"/>
  <c r="G39" i="6" s="1"/>
  <c r="J39" i="6" s="1"/>
  <c r="F93" i="21" l="1"/>
  <c r="F96" i="21" s="1"/>
  <c r="G85" i="6"/>
  <c r="J85" i="6" s="1"/>
  <c r="G100" i="6" l="1"/>
  <c r="J100" i="6" s="1"/>
  <c r="G97" i="6"/>
  <c r="J97" i="6" s="1"/>
  <c r="G33" i="6"/>
  <c r="J33" i="6" s="1"/>
  <c r="G31" i="6"/>
  <c r="J31" i="6" s="1"/>
  <c r="G22" i="6"/>
  <c r="J22" i="6" s="1"/>
  <c r="G23" i="6"/>
  <c r="J23" i="6" s="1"/>
  <c r="G18" i="6"/>
  <c r="J18" i="6" s="1"/>
  <c r="F16" i="21"/>
  <c r="G20" i="6" s="1"/>
  <c r="J20" i="6" s="1"/>
  <c r="F17" i="21"/>
  <c r="G21" i="6" s="1"/>
  <c r="J21" i="6" s="1"/>
  <c r="F13" i="21"/>
  <c r="G17" i="6" s="1"/>
  <c r="J17" i="6" s="1"/>
  <c r="F12" i="21"/>
  <c r="G16" i="6" s="1"/>
  <c r="J16" i="6" s="1"/>
  <c r="E39" i="30"/>
  <c r="F40" i="30"/>
  <c r="F43" i="30"/>
  <c r="E43" i="30"/>
  <c r="G43" i="30" s="1"/>
  <c r="E48" i="30" s="1"/>
  <c r="F48" i="30" s="1"/>
  <c r="F42" i="30"/>
  <c r="E42" i="30"/>
  <c r="E40" i="30"/>
  <c r="F41" i="30"/>
  <c r="E41" i="30"/>
  <c r="F39" i="30"/>
  <c r="F38" i="30"/>
  <c r="E38" i="30"/>
  <c r="H30" i="30"/>
  <c r="H29" i="30"/>
  <c r="J29" i="30" s="1"/>
  <c r="H27" i="30"/>
  <c r="H26" i="30"/>
  <c r="H24" i="30"/>
  <c r="I24" i="30" s="1"/>
  <c r="H23" i="30"/>
  <c r="J23" i="30" s="1"/>
  <c r="H21" i="30"/>
  <c r="I21" i="30" s="1"/>
  <c r="H20" i="30"/>
  <c r="G41" i="30" l="1"/>
  <c r="G40" i="30"/>
  <c r="G39" i="30"/>
  <c r="G38" i="30"/>
  <c r="G42" i="30"/>
  <c r="E47" i="30" s="1"/>
  <c r="I30" i="30"/>
  <c r="I31" i="30" s="1"/>
  <c r="J20" i="30"/>
  <c r="J22" i="30" s="1"/>
  <c r="I22" i="30"/>
  <c r="I25" i="30"/>
  <c r="J25" i="30"/>
  <c r="J31" i="30"/>
  <c r="J26" i="30"/>
  <c r="J28" i="30" s="1"/>
  <c r="I27" i="30"/>
  <c r="I28" i="30" s="1"/>
  <c r="H18" i="30"/>
  <c r="I18" i="30" s="1"/>
  <c r="H15" i="30"/>
  <c r="I15" i="30" s="1"/>
  <c r="J16" i="30"/>
  <c r="E46" i="30" l="1"/>
  <c r="F46" i="30" s="1"/>
  <c r="I46" i="30" s="1"/>
  <c r="F20" i="21" s="1"/>
  <c r="H17" i="30"/>
  <c r="J17" i="30" s="1"/>
  <c r="G24" i="6" l="1"/>
  <c r="J24" i="6" s="1"/>
  <c r="I19" i="30"/>
  <c r="J19" i="30"/>
  <c r="J33" i="30" s="1"/>
  <c r="F47" i="30"/>
  <c r="I47" i="30" s="1"/>
  <c r="F21" i="21" s="1"/>
  <c r="G25" i="6" s="1"/>
  <c r="J25" i="6" s="1"/>
  <c r="I16" i="30"/>
  <c r="J19" i="6" l="1"/>
  <c r="I33" i="30"/>
  <c r="J35" i="30" s="1"/>
  <c r="I48" i="30"/>
  <c r="A28" i="7" l="1"/>
  <c r="E66" i="6"/>
  <c r="B28" i="7" s="1"/>
  <c r="A30" i="7"/>
  <c r="E71" i="6"/>
  <c r="B30" i="7" s="1"/>
  <c r="F66" i="21"/>
  <c r="G70" i="6" s="1"/>
  <c r="J70" i="6" s="1"/>
  <c r="F63" i="21"/>
  <c r="G67" i="6" s="1"/>
  <c r="J67" i="6" s="1"/>
  <c r="A26" i="7"/>
  <c r="E47" i="6"/>
  <c r="B26" i="7" s="1"/>
  <c r="A24" i="7"/>
  <c r="E41" i="6"/>
  <c r="B24" i="7" s="1"/>
  <c r="F32" i="21"/>
  <c r="G36" i="6" s="1"/>
  <c r="J36" i="6" s="1"/>
  <c r="A20" i="7"/>
  <c r="E32" i="6"/>
  <c r="B20" i="7" s="1"/>
  <c r="A16" i="7"/>
  <c r="E26" i="6"/>
  <c r="B16" i="7" s="1"/>
  <c r="A18" i="7"/>
  <c r="E30" i="6"/>
  <c r="B18" i="7" s="1"/>
  <c r="G28" i="6"/>
  <c r="J28" i="6" s="1"/>
  <c r="F23" i="21"/>
  <c r="G27" i="6" s="1"/>
  <c r="J27" i="6" s="1"/>
  <c r="A14" i="7"/>
  <c r="E19" i="6"/>
  <c r="B14" i="7" s="1"/>
  <c r="G105" i="6"/>
  <c r="J105" i="6" s="1"/>
  <c r="J104" i="6" s="1"/>
  <c r="C41" i="7" s="1"/>
  <c r="F41" i="7" s="1"/>
  <c r="J26" i="6" l="1"/>
  <c r="J32" i="6"/>
  <c r="C21" i="7" s="1"/>
  <c r="J71" i="6"/>
  <c r="C31" i="7" s="1"/>
  <c r="J66" i="6"/>
  <c r="J47" i="6"/>
  <c r="C27" i="7" s="1"/>
  <c r="E27" i="7" s="1"/>
  <c r="J41" i="6"/>
  <c r="C25" i="7" s="1"/>
  <c r="F25" i="7" s="1"/>
  <c r="J30" i="6"/>
  <c r="E31" i="7" l="1"/>
  <c r="D31" i="7"/>
  <c r="F31" i="7"/>
  <c r="F27" i="7"/>
  <c r="D27" i="7"/>
  <c r="C19" i="7"/>
  <c r="D19" i="7" s="1"/>
  <c r="C29" i="7"/>
  <c r="C17" i="7"/>
  <c r="C15" i="7"/>
  <c r="D15" i="7" l="1"/>
  <c r="E15" i="7"/>
  <c r="F17" i="7"/>
  <c r="F29" i="7"/>
  <c r="E104" i="6"/>
  <c r="A36" i="7"/>
  <c r="E91" i="6"/>
  <c r="B36" i="7" s="1"/>
  <c r="E94" i="6"/>
  <c r="A34" i="7"/>
  <c r="E84" i="6"/>
  <c r="B34" i="7" s="1"/>
  <c r="E80" i="6"/>
  <c r="B32" i="7" s="1"/>
  <c r="B80" i="6"/>
  <c r="A32" i="7" s="1"/>
  <c r="J84" i="6" l="1"/>
  <c r="C35" i="7" s="1"/>
  <c r="J80" i="6"/>
  <c r="C33" i="7" s="1"/>
  <c r="J91" i="6"/>
  <c r="F35" i="7" l="1"/>
  <c r="E35" i="7"/>
  <c r="F33" i="7"/>
  <c r="E33" i="7"/>
  <c r="C37" i="7"/>
  <c r="F37" i="7" s="1"/>
  <c r="J94" i="6"/>
  <c r="C39" i="7" s="1"/>
  <c r="F39" i="7" l="1"/>
  <c r="E39" i="7"/>
  <c r="E43" i="7" s="1"/>
  <c r="B15" i="6"/>
  <c r="A12" i="7" s="1"/>
  <c r="E15" i="6"/>
  <c r="B12" i="7" s="1"/>
  <c r="A22" i="7"/>
  <c r="E34" i="6"/>
  <c r="B22" i="7" s="1"/>
  <c r="J15" i="6" l="1"/>
  <c r="C13" i="7" s="1"/>
  <c r="D13" i="7" s="1"/>
  <c r="J34" i="6"/>
  <c r="C23" i="7" s="1"/>
  <c r="C14" i="6"/>
  <c r="D14" i="6"/>
  <c r="E14" i="6"/>
  <c r="F14" i="6"/>
  <c r="G14" i="6"/>
  <c r="J14" i="6" s="1"/>
  <c r="E13" i="6"/>
  <c r="B10" i="7" s="1"/>
  <c r="B13" i="6"/>
  <c r="A10" i="7" s="1"/>
  <c r="F23" i="7" l="1"/>
  <c r="F43" i="7" s="1"/>
  <c r="D23" i="7"/>
  <c r="J13" i="6"/>
  <c r="J106" i="6" s="1"/>
  <c r="C11" i="7" l="1"/>
  <c r="C43" i="7" l="1"/>
  <c r="D11" i="7"/>
  <c r="D43" i="7" s="1"/>
  <c r="A6" i="7"/>
  <c r="L107" i="6" l="1"/>
  <c r="F5" i="7" l="1"/>
  <c r="C12" i="6"/>
  <c r="D12" i="6"/>
  <c r="E12" i="6"/>
  <c r="F12" i="6"/>
  <c r="G12" i="6"/>
  <c r="B12" i="6"/>
  <c r="C40" i="7" l="1"/>
  <c r="C12" i="7"/>
  <c r="C16" i="7"/>
  <c r="C24" i="7"/>
  <c r="C28" i="7"/>
  <c r="C32" i="7"/>
  <c r="C20" i="7"/>
  <c r="C36" i="7"/>
  <c r="C18" i="7"/>
  <c r="C26" i="7"/>
  <c r="C34" i="7"/>
  <c r="C14" i="7"/>
  <c r="C22" i="7"/>
  <c r="C30" i="7"/>
  <c r="C38" i="7"/>
  <c r="F5" i="6"/>
  <c r="D6" i="7" l="1"/>
  <c r="B7" i="6" l="1"/>
  <c r="B5" i="6"/>
  <c r="A7" i="7"/>
  <c r="C10" i="7" l="1"/>
  <c r="C42" i="7" s="1"/>
  <c r="A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Priscila</author>
  </authors>
  <commentList>
    <comment ref="J7" authorId="0" shapeId="0" xr:uid="{00000000-0006-0000-0100-000001000000}">
      <text>
        <r>
          <rPr>
            <b/>
            <sz val="9"/>
            <color indexed="81"/>
            <rFont val="Segoe UI"/>
            <family val="2"/>
          </rPr>
          <t>Priscila:</t>
        </r>
        <r>
          <rPr>
            <sz val="9"/>
            <color indexed="81"/>
            <rFont val="Segoe UI"/>
            <family val="2"/>
          </rPr>
          <t xml:space="preserve">
</t>
        </r>
      </text>
    </comment>
  </commentList>
</comments>
</file>

<file path=xl/sharedStrings.xml><?xml version="1.0" encoding="utf-8"?>
<sst xmlns="http://schemas.openxmlformats.org/spreadsheetml/2006/main" count="728" uniqueCount="408">
  <si>
    <t>ITEM</t>
  </si>
  <si>
    <t>DESCRIÇÃO</t>
  </si>
  <si>
    <t>CÓDIGO</t>
  </si>
  <si>
    <t>DIRETA</t>
  </si>
  <si>
    <t>INDIRETA</t>
  </si>
  <si>
    <t>(    )</t>
  </si>
  <si>
    <t>UND.</t>
  </si>
  <si>
    <t>QUANT.</t>
  </si>
  <si>
    <t>TOTAL</t>
  </si>
  <si>
    <t>FONTE</t>
  </si>
  <si>
    <t>VALOR TOTAL:</t>
  </si>
  <si>
    <t>1.1</t>
  </si>
  <si>
    <t>2.1</t>
  </si>
  <si>
    <t>3.1</t>
  </si>
  <si>
    <t>(  X  )</t>
  </si>
  <si>
    <t>UNITÁRIO
 S/ BDI</t>
  </si>
  <si>
    <t>UNITÁRIO
C/ BDI</t>
  </si>
  <si>
    <t>FÓRMULA/MEMÓRIA</t>
  </si>
  <si>
    <t>MÊS 01</t>
  </si>
  <si>
    <t>MÊS 02</t>
  </si>
  <si>
    <t xml:space="preserve">BDI = </t>
  </si>
  <si>
    <t>___________________________________________________</t>
  </si>
  <si>
    <t>-</t>
  </si>
  <si>
    <t>SEINFRA</t>
  </si>
  <si>
    <t>A EXECUTAR</t>
  </si>
  <si>
    <t>FÍSICO/
FINANCEIRO</t>
  </si>
  <si>
    <t xml:space="preserve">SERVIÇOS PRELIMINARES </t>
  </si>
  <si>
    <t>SERVIÇOS FINAIS</t>
  </si>
  <si>
    <t>un</t>
  </si>
  <si>
    <t>m3</t>
  </si>
  <si>
    <t>PLANILHA ORÇAMENTÁRIA DE CUSTOS</t>
  </si>
  <si>
    <t>MEMÓRIA DE CÁLCULO DE QUANTITATIVOS</t>
  </si>
  <si>
    <t>m2</t>
  </si>
  <si>
    <t>TIPO</t>
  </si>
  <si>
    <t>4.1</t>
  </si>
  <si>
    <t>m</t>
  </si>
  <si>
    <t>4.2</t>
  </si>
  <si>
    <t>CRONOGRAMA FÍSICO-FINANCEIRO</t>
  </si>
  <si>
    <t>5.1</t>
  </si>
  <si>
    <t>6.1</t>
  </si>
  <si>
    <t>ED-50266</t>
  </si>
  <si>
    <t>LIMPEZA FINAL PARA ENTREGA DA OBRA</t>
  </si>
  <si>
    <t>PREFEITURA MUNICIPAL DE SENHORA DOS REMÉDIOS</t>
  </si>
  <si>
    <t>4.3</t>
  </si>
  <si>
    <t>INSTALAÇÕES ELÉTRICAS</t>
  </si>
  <si>
    <t>7.1</t>
  </si>
  <si>
    <t>PINTURA</t>
  </si>
  <si>
    <t>8.1</t>
  </si>
  <si>
    <t>ED-51123</t>
  </si>
  <si>
    <t>ED-9934</t>
  </si>
  <si>
    <t>conforme indicação em projeto</t>
  </si>
  <si>
    <t>PINTURA EPÓXI EM PISO, DUAS (2) DEMÃOS, INCLUSIVE UMA (1) DEMÃO DE PRIMER EPÓXI</t>
  </si>
  <si>
    <t>ISS
2,00%</t>
  </si>
  <si>
    <t>9.1</t>
  </si>
  <si>
    <t>Priscila Cristina De Paula Neto</t>
  </si>
  <si>
    <r>
      <t>Engenheira Civil - CREA/MG n</t>
    </r>
    <r>
      <rPr>
        <sz val="10"/>
        <rFont val="Calibri"/>
        <family val="2"/>
      </rPr>
      <t>º</t>
    </r>
    <r>
      <rPr>
        <sz val="10"/>
        <rFont val="Arial"/>
        <family val="2"/>
      </rPr>
      <t xml:space="preserve"> 142702/D</t>
    </r>
  </si>
  <si>
    <t xml:space="preserve">FORMA DE 
EXECUÇÃO: </t>
  </si>
  <si>
    <t>10.1</t>
  </si>
  <si>
    <t>10.2</t>
  </si>
  <si>
    <t>ED-51093</t>
  </si>
  <si>
    <t>APILOAMENTO DO FUNDO DE VALAS COM SOQUETE</t>
  </si>
  <si>
    <t>11.1</t>
  </si>
  <si>
    <t>11.2</t>
  </si>
  <si>
    <t>11.3</t>
  </si>
  <si>
    <t>11.4</t>
  </si>
  <si>
    <t>ED-49810</t>
  </si>
  <si>
    <t>kg</t>
  </si>
  <si>
    <t>12.1</t>
  </si>
  <si>
    <t>12.2</t>
  </si>
  <si>
    <t>12.3</t>
  </si>
  <si>
    <t>ED-49645</t>
  </si>
  <si>
    <t>LAJE PRÉ MOLDADA</t>
  </si>
  <si>
    <t>13.1</t>
  </si>
  <si>
    <t>13.2</t>
  </si>
  <si>
    <t>ALVENARIAS E DIVISÕES</t>
  </si>
  <si>
    <t>14.1</t>
  </si>
  <si>
    <t>CINTAMENTO E VERGAS</t>
  </si>
  <si>
    <t>15.1</t>
  </si>
  <si>
    <t>ED-48232</t>
  </si>
  <si>
    <t>ALVENARIA DE VEDAÇÃO COM TIJOLO CERÂMICO FURADO, ESP. 14CM, PARA REVESTIMENTO, INCLUSIVE ARGAMASSA PARA ASSENTAMENTO</t>
  </si>
  <si>
    <t>COBERTURAS</t>
  </si>
  <si>
    <t>16.1</t>
  </si>
  <si>
    <t>ED-48407</t>
  </si>
  <si>
    <t>ED-48408</t>
  </si>
  <si>
    <t>ED-48420</t>
  </si>
  <si>
    <t>ED-48400</t>
  </si>
  <si>
    <t>ED-50223</t>
  </si>
  <si>
    <t>ED-50225</t>
  </si>
  <si>
    <t>ED-50221</t>
  </si>
  <si>
    <t>ED-49935</t>
  </si>
  <si>
    <t>ED-50283</t>
  </si>
  <si>
    <t>LAVATÓRIO DE LOUÇA BRANCA SEM COLUNA, TAMANHO MÉDIO, INCLUSIVE ACESSÓRIOS DE FIXAÇÃO, VÁLVULA DE ESCOAMENTO DE METAL COM ACABAMENTO CROMADO, SIFÃO DE METAL TIPO COPO COM ACABAMENTO CROMADO, FORNECIMENTO, INSTALAÇÃO E REJUNTAMENTO, EXCLUSIVE TORNEIRA E ENGATE FLEXÍVEL</t>
  </si>
  <si>
    <t>ED-50329</t>
  </si>
  <si>
    <t>TORNEIRA METÁLICA PARA LAVATÓRIO, FECHAMENTO AUTOMÁTICO, ACABAMENTO CROMADO, COM AREJADOR, APLICAÇÃO DE MESA, INCLUSIVE ENGATE FLEXÍVEL METÁLICO, FORNECIMENTO E INSTALAÇÃO</t>
  </si>
  <si>
    <t>ED-48160</t>
  </si>
  <si>
    <t>BARRA DE APOIO EM AÇO INOX POLIDO RETA, DN 1.1/4" (31,75MM), PARA ACESSIBILIDADE (PMR/PCR), COMPRIMENTO 80CM, INSTALADO EM PAREDE, INCLUSIVE FORNECIMENTO, INSTALAÇÃO E ACESSÓRIOS PARA FIXAÇÃO</t>
  </si>
  <si>
    <t>ED-48183</t>
  </si>
  <si>
    <t>PAPELEIRA PLASTICA TIPO DISPENSER PARA PAPEL HIGIENICO ROLAO</t>
  </si>
  <si>
    <t>ED-50323</t>
  </si>
  <si>
    <t>TORNEIRA METÁLICA PARA IRRIGAÇÃO/JARDIM, ACABAMENTO CROMADO, APLICAÇÃO DE PAREDE, INCLUSIVE FORNECIMENTO E INSTALAÇÃO</t>
  </si>
  <si>
    <t>ED-49956</t>
  </si>
  <si>
    <t>RALO SIFONADO PVC CILINDRÍCO 100 X 70 X 40 MM COM GRELHA REDONDA</t>
  </si>
  <si>
    <t>ESQUADRIAS</t>
  </si>
  <si>
    <t>18.1</t>
  </si>
  <si>
    <t>ED-48163</t>
  </si>
  <si>
    <t>BARRA DE APOIO EM AÇO INOX POLIDO RETA, DN 1.1/4" (31,75MM), PARA ACESSIBILIDADE (PMR/PCR), COMPRIMENTO 40CM, INSTALADO EM PORTA/PAREDE, INCLUSIVE FORNECIMENTO, INSTALAÇÃO E ACESSÓRIOS PARA FIXAÇÃO</t>
  </si>
  <si>
    <t>ED-50954</t>
  </si>
  <si>
    <t>ED-50951</t>
  </si>
  <si>
    <t>ÁGUAS PLUVIAIS</t>
  </si>
  <si>
    <t>19.3</t>
  </si>
  <si>
    <t>ED-50649</t>
  </si>
  <si>
    <t>ED-50676</t>
  </si>
  <si>
    <t>ED-50668</t>
  </si>
  <si>
    <t>ED-50228</t>
  </si>
  <si>
    <t>ED-50232</t>
  </si>
  <si>
    <t>ED-49498</t>
  </si>
  <si>
    <t>QUADRO DE DISTRIBUIÇÃO PARA 8 MÓDULOS COM BARRAMENTO E CHAVE</t>
  </si>
  <si>
    <t>REVESTIMENTOS</t>
  </si>
  <si>
    <t>ED-50727</t>
  </si>
  <si>
    <t>ED-9081</t>
  </si>
  <si>
    <t>REVESTIMENTO COM CERÂMICA APLICADO EM PAREDE, ACABAMENTO ESMALTADO, AMBIENTE INTERNO/EXTERNO, PADRÃO EXTRA, DIMENSÃO DA PEÇA ATÉ 2025 CM2, PEI III, ASSENTAMENTO COM ARGAMASSA INDUSTRIALIZADA, INCLUSIVE REJUNTAMENTO</t>
  </si>
  <si>
    <t>ED-50590</t>
  </si>
  <si>
    <t>LAJE DE TRANSIÇÃO E = 8 CM, SEM JUNTA, FCK = 10 MPA (MANUAL)</t>
  </si>
  <si>
    <t>ED-50567</t>
  </si>
  <si>
    <t>CONTRAPISO DESEMPENADO COM ARGAMASSA, TRAÇO 1:3 (CIMENTO E AREIA), ESP. 25MM</t>
  </si>
  <si>
    <t>PISO CIMENTADO NATADO COM ARGAMASSA, TRAÇO 1:3 (CIMENTO E AREIA), ESP. 25MM, ACABAMENTO QUEIMADO, SEM JUNTA DE DILATAÇÃO</t>
  </si>
  <si>
    <t>ED-50553</t>
  </si>
  <si>
    <t>VIDRO E ESPELHOS</t>
  </si>
  <si>
    <t>ED-51150</t>
  </si>
  <si>
    <t>ED-50514</t>
  </si>
  <si>
    <t>PREPARAÇÃO PARA EMASSAMENTO OU PINTURA (LÁTEX/ACRÍLICA) EM PAREDE, INCLUSIVE UMA (1) DEMÃO DE SELADOR ACRÍLICO</t>
  </si>
  <si>
    <t>ED-50491</t>
  </si>
  <si>
    <t>PINTURA ESMALTE EM ESQUADRIAS DE FERRO, DUAS (2) DEMÃOS, INCLUSIVE UMA (1) DEMÃO DE FUNDO ANTICORROSIVO</t>
  </si>
  <si>
    <t>ED-48297</t>
  </si>
  <si>
    <t>ED-48295</t>
  </si>
  <si>
    <t>15.2</t>
  </si>
  <si>
    <t>ED-50227</t>
  </si>
  <si>
    <t>10.3</t>
  </si>
  <si>
    <t>ED-49812</t>
  </si>
  <si>
    <t>LASTRO DE CONCRETO MAGRO, INCLUSIVE TRANSPORTE, LANÇAMENTO E ADENSAMENTO</t>
  </si>
  <si>
    <t>10.4</t>
  </si>
  <si>
    <t>ED-49618</t>
  </si>
  <si>
    <t>ED-49871</t>
  </si>
  <si>
    <t>CAIXA DE ESGOTO DE INSPEÇÃO/PASSAGEM EM ALVENARIA (30X30X40CM), REVESTIMENTO EM ARGAMASSA COM ADITIVO IMPERMEABILIZANTE, COM TAMPA DE CONCRETO, INCLUSIVE ESCAVAÇÃO, REATERRO E TRANSPORTE E RETIRADA DO MATERIAL ESCAVADO (EM CAÇAMBA)</t>
  </si>
  <si>
    <t>8.2</t>
  </si>
  <si>
    <t>CALÇAMENTO / PISO</t>
  </si>
  <si>
    <t>9.2</t>
  </si>
  <si>
    <t>9.3</t>
  </si>
  <si>
    <t>9.4</t>
  </si>
  <si>
    <t>9.5</t>
  </si>
  <si>
    <t>13.3</t>
  </si>
  <si>
    <t>14.2</t>
  </si>
  <si>
    <t>14.3</t>
  </si>
  <si>
    <t>???</t>
  </si>
  <si>
    <t>AÇO</t>
  </si>
  <si>
    <t>DIAM.</t>
  </si>
  <si>
    <t>PESO
kg/m</t>
  </si>
  <si>
    <t>CA-60</t>
  </si>
  <si>
    <t>5.0</t>
  </si>
  <si>
    <t>CA-50</t>
  </si>
  <si>
    <t>6.3</t>
  </si>
  <si>
    <t>8.0</t>
  </si>
  <si>
    <t>12.5</t>
  </si>
  <si>
    <t>ELEMENTO</t>
  </si>
  <si>
    <t>SEÇÃO
(cm)</t>
  </si>
  <si>
    <t>Pos.</t>
  </si>
  <si>
    <t>Diam.</t>
  </si>
  <si>
    <t>Quant.</t>
  </si>
  <si>
    <t>Repet</t>
  </si>
  <si>
    <t>Comp.
(cm)</t>
  </si>
  <si>
    <t>Total
(cm)</t>
  </si>
  <si>
    <t>CA-50
(Kg)</t>
  </si>
  <si>
    <t>CA-60
(Kg)</t>
  </si>
  <si>
    <t>ANÁLISE SEINFRA</t>
  </si>
  <si>
    <t>OBSERVAÇÕES SEINFRA</t>
  </si>
  <si>
    <t>N1</t>
  </si>
  <si>
    <t>N2</t>
  </si>
  <si>
    <t>N3</t>
  </si>
  <si>
    <t>total</t>
  </si>
  <si>
    <t>N4</t>
  </si>
  <si>
    <t>N5</t>
  </si>
  <si>
    <t>N6</t>
  </si>
  <si>
    <t>S1=S2=S3=S4</t>
  </si>
  <si>
    <t>P1=P2=P3=P4</t>
  </si>
  <si>
    <t>Sapatas = 80x80x40</t>
  </si>
  <si>
    <t>Pilares = 25x15</t>
  </si>
  <si>
    <t>V101=V102</t>
  </si>
  <si>
    <t>Vigas = 15x30</t>
  </si>
  <si>
    <t>V103=V104=V105</t>
  </si>
  <si>
    <t>V201=V202</t>
  </si>
  <si>
    <t>V203=V204=V205</t>
  </si>
  <si>
    <t>Vigas = 15x25</t>
  </si>
  <si>
    <t>(0,80 X 0,40 X 4,00) X 4,00 - sapatas das fundações das ISs conforme indicado no projeto estrutural +
+ ((0,95 X 2,00) + (2,70 X 2,00) + 1,70)) X 0,30 X 2,00 - vigas das fundações das ISs conforme indicado no projeto estrutural</t>
  </si>
  <si>
    <t>(1,00 X 1,00 X 4,00) X 0,05 - área do fundo das sapatas de fundação das ISs multiplicada por 0,05m de espessura conforme indicado no projeto estrutural +
+ ((0,75 X 2,00) + (2,50 X 2,00) + 1,70) X 0,25 X 0,05 - área do fundo das vigas das fundações das ISs multiplicada por 0,05m de espessura conforme indicado no projeto estrutural</t>
  </si>
  <si>
    <t>3.2</t>
  </si>
  <si>
    <t>3.3</t>
  </si>
  <si>
    <t>3.4</t>
  </si>
  <si>
    <t>3.5</t>
  </si>
  <si>
    <t>3.6</t>
  </si>
  <si>
    <t>ESTRUTURAS DE CONCRETO ARMADO</t>
  </si>
  <si>
    <t>3,65 X 2,00 - lajes da ISs conforme projeto arquitetônico</t>
  </si>
  <si>
    <t>((3,35 + 3,35 + 1,70 + 1,50 + 1,50) X 2,55) - (0,60 X 0,60 X 4,00) - (0,90 X 2,10 X 2,00) - área das alvenarias deduzidos os vão da janelas e portas conforme projeto arquitetônico e estrutural +
+ (1,65 X 2,00) + (1,30 X 2,00) X 1,10 - platibanda conforme planta da cobertura do projeto arquitetônico</t>
  </si>
  <si>
    <t>1,60 X 1,70 X 2,00 - área internas das ISs conforme projeto + 
+ 3,65 X 1,50 - área externa em frente às ISs conforme projeto</t>
  </si>
  <si>
    <t>1,60 X 1,70 X 2,00 - área internas das ISs conforme projeto</t>
  </si>
  <si>
    <t>3,65 X 1,50 - área externa em frente às ISs conforme projeto</t>
  </si>
  <si>
    <t>0,90 X 0,15 X 2,00 - das portas de acesso às ISs conforme projeto</t>
  </si>
  <si>
    <t>1,3572 X 1,35 - área de cobertura da caixa d'água considerando a inclinação de 30% conforme projeto</t>
  </si>
  <si>
    <t>ED-48165</t>
  </si>
  <si>
    <t>BARRA DE APOIO EM AÇO INOX POLIDO EM "L", DN 1.1/4" (31,75MM), PARA ACESSIBILIDADE (PMR/PCR), COMPRIMENTO 140CM, INSTALADO EM PAREDE, INCLUSIVE FORNECIMENTO, INSTALAÇÃO E ACESSÓRIOS PARA FIXAÇÃO</t>
  </si>
  <si>
    <t>ED-50975</t>
  </si>
  <si>
    <t>1,00 + 1,00 - para rede de esgoto dos vasos sanitários das ISs conforme indicação em projeto</t>
  </si>
  <si>
    <t>2,00 + 2,00 - para rede de esgoto dos lavatórios e ralos sifonados das ISs conforme indicação em projeto</t>
  </si>
  <si>
    <t>1,00 + 1,00 - para as ISs conforme indicação em projeto</t>
  </si>
  <si>
    <t>1,00 + 1,00 - para lavatórios das ISs conforme indicação em projeto</t>
  </si>
  <si>
    <t>1,00 + 1,00 - para limpeza das ISs conforme indicação em projeto</t>
  </si>
  <si>
    <t>1,00 + 1,00 - para os vasos sanitários das ISs conforme indicação em projeto</t>
  </si>
  <si>
    <t xml:space="preserve">a instalar junto aos vasos sanitários das ISs conforme indicação em projeto                                                                          </t>
  </si>
  <si>
    <t xml:space="preserve">a instalar junto aos lavatórios das ISs conforme indicação em projeto                                                                          </t>
  </si>
  <si>
    <t xml:space="preserve">a instalar nas portas de acesso às ISs conforme indicação em projeto                                                                 </t>
  </si>
  <si>
    <t>1 unidade para a rede de esgoto das ISs conforme projeto</t>
  </si>
  <si>
    <t>ED-49989</t>
  </si>
  <si>
    <t>REGISTRO DE GAVETA, TIPO BASE, ROSCÁVEL 3/4" (PARA TUBO SOLDÁVEL OU PPR DN 25MM/CPVC DN 22MM), INCLUSIVE ACABAMENTO (PADRÃO MÉDIO) E CANOPLA CROMADO</t>
  </si>
  <si>
    <t>1,65 - 0,30 - para o telhado da caixa d'água conforme projeto</t>
  </si>
  <si>
    <t>(1,65 - 0,30) + ((1,60 - 0,30) X 2,00)) - para o telhado da caixa d'água conforme projeto</t>
  </si>
  <si>
    <t>para o telhado da caixa d'água conforme projeto</t>
  </si>
  <si>
    <t>para sistema de iluminação das ISs</t>
  </si>
  <si>
    <t>para sistema de iluminação externa e sistema de iluminação e tomadas das ISs conforme projeto</t>
  </si>
  <si>
    <t>para sistema de itomadas das ISs</t>
  </si>
  <si>
    <t>1,00 + 1,00 - para as ISs conforme projeto</t>
  </si>
  <si>
    <t xml:space="preserve">(1,20 X 0,60) X 2,00 un - janelas das ISs conforme projeto                  </t>
  </si>
  <si>
    <t xml:space="preserve">(1,40 X 0,80) X 2,00 un - janelas das ISs conforme projeto                  </t>
  </si>
  <si>
    <t>(3,65 + 2,00) X 2,00 X 2,90 - área das faces externas das paredes das Iss conforme projeto +
+ (1,70 + 1,60) X 4,00 X 2,80 - área das faces internas das paredes das ISs conforme projeto + 
+ (1,60 + 1,65 + 1,30 + 1,35) X 2,00 X 1,10 - área das faces externas e internas das paredes das platibandas da caixa d'água das Iss conforme projeto</t>
  </si>
  <si>
    <t>ED-50762</t>
  </si>
  <si>
    <t>(1,70 + 1,60) X 4,00 X 1,80 - área das faces internas das paredes das ISs conforme projeto</t>
  </si>
  <si>
    <t>ED-50728</t>
  </si>
  <si>
    <t>1,70 X 1,60 X 2,00 - área dos tetos da ISs conforme projeto</t>
  </si>
  <si>
    <t>ED-50763</t>
  </si>
  <si>
    <t xml:space="preserve">(1,20 X 0,60) X 2,00 un - para as janelas das ISs conforme projeto                  </t>
  </si>
  <si>
    <t>INSTALAÇÕES HIDROSSANITÁRIAS</t>
  </si>
  <si>
    <t>ED-50667</t>
  </si>
  <si>
    <t>(1,65 X 2,00) + ((1,60 - 0,30) X 2,00)) - sobre a platibanda da caixa d'água conforme projeto</t>
  </si>
  <si>
    <t>ED-9919</t>
  </si>
  <si>
    <t>PINTURA EPÓXI EM PAREDE, DUAS (2) DEMÃOS, INCLUSIVE UMA (1) DEMÃO DE MASSA ACRÍLICA, EXCLUSIVE SELADOR ACRÍLICO</t>
  </si>
  <si>
    <t>ED-9935</t>
  </si>
  <si>
    <t>PREPARAÇÃO PARA PINTURA (EPÓXI) EM PISO, INCLUSIVE UMA (1) DEMÃO DE PRIMER EPÓXI</t>
  </si>
  <si>
    <t>(0,90 X 2,10) X 2,00 un X 2,00 faces - portas das ISs conforme projeto +                
+ (1,20 X 0,60) X 2,00 un X 2,00 faces - janelas da ISs conforme projeto +                                     
+ (1,40 X 0,80) X 2,00 un X 2,00 faces - grades das janelas da ISs conforme projeto</t>
  </si>
  <si>
    <t>ED-50515</t>
  </si>
  <si>
    <t>(1,70 + 1,60) X 4,00 X 1,00 - área das faces internas das paredes das ISs conforme projeto</t>
  </si>
  <si>
    <t>ED-50473</t>
  </si>
  <si>
    <t>EMASSAMENTO EM PAREDE COM MASSA ACRÍLICA, UMA (1) DEMÃO, INCLUSIVE LIXAMENTO PARA PINTURA</t>
  </si>
  <si>
    <t>ED-50453</t>
  </si>
  <si>
    <t>PINTURA ACRÍLICA EM PAREDE, TRÊS (3) DEMÃOS, EXCLUSIVE SELADOR ACRÍLICO E MASSA ACRÍLICA/CORRIDA (PVA)</t>
  </si>
  <si>
    <t>ED-50454</t>
  </si>
  <si>
    <t>PINTURA ACRÍLICA EM TETO, TRÊS (3) DEMÃOS, EXCLUSIVE SELADOR ACRÍLICO E MASSA ACRÍLICA/CORRIDA (PVA)</t>
  </si>
  <si>
    <t>7.2</t>
  </si>
  <si>
    <t>8.3</t>
  </si>
  <si>
    <t>8.4</t>
  </si>
  <si>
    <t>8.5</t>
  </si>
  <si>
    <t>14.4</t>
  </si>
  <si>
    <t>14.5</t>
  </si>
  <si>
    <t>18.2</t>
  </si>
  <si>
    <t>18.3</t>
  </si>
  <si>
    <t>18.4</t>
  </si>
  <si>
    <t>18.5</t>
  </si>
  <si>
    <t>18.6</t>
  </si>
  <si>
    <t>18.7</t>
  </si>
  <si>
    <t>18.8</t>
  </si>
  <si>
    <t>18.9</t>
  </si>
  <si>
    <t>PREPARAÇÃO PARA EMASSAMENTO OU PINTURA (LÁTEX/ACRÍLICA) EM TETO, INCLUSIVE UMA (1) DEMÃO DE SELADOR ACRÍLICO</t>
  </si>
  <si>
    <t>ED-51003</t>
  </si>
  <si>
    <t>ED-50998</t>
  </si>
  <si>
    <t>14.6</t>
  </si>
  <si>
    <t>PEITORIL DE GRANITO CINZA ANDORINHA E = 3 CM</t>
  </si>
  <si>
    <t>1,20 X 0,15 X 2,00 - peitoris das janelas das ISs conforme projeto</t>
  </si>
  <si>
    <t>área de preparação para pintura deduzida a pintura das paredes internas</t>
  </si>
  <si>
    <t>área de chapisco em alvenarias de duzida a área de revestimento cerâmico em paredes</t>
  </si>
  <si>
    <t>4,45 - 1,65 - para a cobertura cerâmica conforme projeto</t>
  </si>
  <si>
    <t>2,00 + 2,00 + 2,00 - para rede de água fria dos vasos sanitários, dos lavatórios e das torneiras baixas de limpeza das ISs conforme indicação em projeto</t>
  </si>
  <si>
    <t xml:space="preserve">(0,80 X 0,80 X 4,00) X 0,40 - volume das sapatas de fundação das ISs conforme indicado no projeto estrutural +
+ ((0,75 X 2,00) + (2,50 X 2,00) + 1,70) X 0,15 X 0,30 - volume das vigas das fundações das ISs conforme indicado no projeto estrutural
+ (0,15 X 0,25 X 2,55) X 4 un - volume de concreto dos pilares conforme projeto estrutural +
+ (0,15 X 0,25 X 3,65) X 2 un + (0,15 X 0,25 X 1,70) X 3 un - volume de concreto das vigas V200 conforme projeto estrutural </t>
  </si>
  <si>
    <t>((0,15 + 0,25 + 0,15 + 0,25) X 2,55) X 4 un - pilares conforme projeto estrutural +
+ ((3,65 + 2,00) X 2,00 X 0,25) + (1,70 X 4,00 X 0,25) + (1,60 X 4,00 X 0,25) - forma para vigas V200 conforme projeto estrutural</t>
  </si>
  <si>
    <t>((2,52 - 0,30 - 1,39) - volume total escavado para fundações deduzidos o volume total de lastro e o volume total de concreto das sapatas e vigas de fundação conforme projeto estrutural</t>
  </si>
  <si>
    <t>ED-48184</t>
  </si>
  <si>
    <t>SABONETEIRA EM AÇO INOX TIPO DISPENSER PARA SABONETE LÍQUIDO COM RESERVATÓRIO 800 ML</t>
  </si>
  <si>
    <t>ED-48180</t>
  </si>
  <si>
    <t>DISPENSER EM AÇO INOX PARA PAPEL TOALHA 2 OU 3 FOLHAS</t>
  </si>
  <si>
    <t>Considerado cobrimento=3cm para todos os elementos. Verificar e revisar o aplicável na planilha e/ou no projeto</t>
  </si>
  <si>
    <t>valor mínimo a ser conveniado</t>
  </si>
  <si>
    <t>valor faltante</t>
  </si>
  <si>
    <t>___________________________________________</t>
  </si>
  <si>
    <t>Análise SEINFRA</t>
  </si>
  <si>
    <t>Observações SEINFRA</t>
  </si>
  <si>
    <t>(1,00 X 1,00 X 0,45) X 4,00 - sapatas de fundação das ISs conforme indicado no projeto estrutural +
+ ((0,75 X 2,00) + (2,50 X 2,00) + 1,70) X 0,35 X 0,25 - vigas das fundações das ISs conforme indicado no projeto estrutural</t>
  </si>
  <si>
    <t>(1,00 X 1,00 X 4,00) - fundo das sapatas de fundação das ISs conforme indicado no projeto estrutural +
+ ((0,75 X 2,00) + (2,50 x 2,00) +1,70) X 0,25 - fundo das vigas das fundações das ISs conforme indicado no projeto estrutural</t>
  </si>
  <si>
    <t>Correções</t>
  </si>
  <si>
    <t xml:space="preserve">aço CA-60 conforme projeto estrutural </t>
  </si>
  <si>
    <t xml:space="preserve">aço CA-50 conforme projeto estrutural </t>
  </si>
  <si>
    <t xml:space="preserve">portas de acesso às ISs conforme indicação em projeto                                                  </t>
  </si>
  <si>
    <t>((1,80 + 1,38) X 4,45) - (2,00 X 1,65) - área de cobertura considerando a inclinação de 35% deduzida a área da caixa d'água conforme projeto</t>
  </si>
  <si>
    <t>ED-50301</t>
  </si>
  <si>
    <t>ED-48157</t>
  </si>
  <si>
    <t>ASSENTO PARA VASO PNE (NBR 9050)</t>
  </si>
  <si>
    <t>REVESTIMENTO COM CERÂMICA APLICADO EM PISO, ACABAMENTO ESMALTADO, AMBIENTE INTERNO, PADRÃO EXTRA, DIMENSÃO DA PEÇA ATÉ 2025 CM2, PEI V, ASSENTAMENTO COM ARGAMASSA INDUSTRIALIZADA, INCLUSIVE REJUNTAMENTO</t>
  </si>
  <si>
    <t>ED-48425</t>
  </si>
  <si>
    <t>ENTRADA DE ENERGIA AÉREA, TIPO B2, PADRÃO CEMIG, CARGA INSTALADA DE 10,1KW ATÉ 15KW, BIFÁSICO, COM SAÍDA SUBTERRÂNEA, INCLUSIVE POSTE, CAIXA PARA MEDIDOR, DISJUNTOR, BARRAMENTO, ATERRAMENTO E ACESSÓRIOS</t>
  </si>
  <si>
    <t>ED-20580</t>
  </si>
  <si>
    <t>PONTO DE EMBUTIR PARA UMA (1) LUMINÁRIA,COM ELETRODUTO DE PVC RÍGIDO ROSCÁVEL, DN 20MM (3/4"), EMBUTIDO NA LAJE E CABO DE COBRE FLEXÍVEL, CLASSE 5, ISOLAMENTO TIPO LSHF/ATOX, NÃO HALOGENADO, SEÇÃO 1,5MM2 (70°C-450/750V), COM DISTÂNCIA DE ATÉ CINCO (5) METROS DO PONTO DE DERIVAÇÃO, EXCLUSIVE LUMINÁRIA, INCLUSIVE CAIXA DE LIGAÇÃO OCTOGONAL, SUPORTE E FIXAÇÃO DO ELETRODUTO</t>
  </si>
  <si>
    <t>PONTO DE EMBUTIR PARA UM (1) INTERRUPTOR SIMPLES (10A-250V), COM PLACA 4"X2" DE UM (1) POSTO,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t>
  </si>
  <si>
    <t>PONTO DE EMBUTIR PARA UMA (1) TOMADA PADRÃO, TRÊS (3) POLOS (2P+T/10A-250V),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t>
  </si>
  <si>
    <t>Willian Nunes Dornelas</t>
  </si>
  <si>
    <t>Prefeito Municipal de Senhora dos Remédios</t>
  </si>
  <si>
    <t>PONTO DE EMBUTIR PARA ÁGUA FRIA EM TUBO DE PVC RÍGIDO SOLDÁVEL, DN 20MM (1/2"), EMBUTIDO NA ALVENARIA COM DISTÂNCIA DE ATÉ CINCO (5) METROS DA TOMADA DE ÁGUA, INCLUSIVE CONEXÕES E FIXAÇÃO DO TUBO COM ENCHIMENTO DO RASGO NA ALVENARIA/CONCRETO COM ARGAMASSA</t>
  </si>
  <si>
    <t xml:space="preserve">Adotado BDI "CONSTRUÇÃO DE EDIFÍCIOS" da planilha de preços SEINFRA/REGIÃO LESTE NOVEMBRO/2021 COM DESONERAÇÃO </t>
  </si>
  <si>
    <t>DATA: 28/08/2024</t>
  </si>
  <si>
    <t xml:space="preserve">ED-16660 </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</si>
  <si>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</si>
  <si>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3,00m x 1,50m placa conforme padrão estabelecido</t>
  </si>
  <si>
    <t>2.2</t>
  </si>
  <si>
    <t>2.3</t>
  </si>
  <si>
    <t xml:space="preserve">ED-51107 </t>
  </si>
  <si>
    <t>ESCAVAÇÃO MANUAL DE VALA COM PROFUNDIDADE MENOR OU IGUAL A 1,5M, INCLUSIVE DESCARGA LATERAL</t>
  </si>
  <si>
    <t xml:space="preserve">ED-51097 </t>
  </si>
  <si>
    <t>COMPACTAÇÃO MANUAL DE ATERRO COM SOQUETE, INCLUSIVE ESPALHAMENTO MANUAL</t>
  </si>
  <si>
    <t>TRABALHOS EM TERRA</t>
  </si>
  <si>
    <t>FÔRMA E DESFORMA PARA VIGA-CINTA/BLOCO COM TÁBUA E SARRAFO, REAPROVEITAMENTO (3X) (FUNDAÇÃO)</t>
  </si>
  <si>
    <t>FÔRMA E DESFORMA DE COMPENSADO RESINADO, ESP. 12MM, REAPROVEITAMENTO (3X), EXCLUSIVE ESCORAMENTO</t>
  </si>
  <si>
    <t>FORNECIMENTO DE CONCRETO ESTRUTURAL, PREPARADO EM OBRA, COM FCK 20MPA, INCLUSIVE LANÇAMENTO, ADENSAMENTO E ACABAMENTO</t>
  </si>
  <si>
    <t>CORTE, DOBRA E MONTAGEM DE AÇO CA-60, DIÂMETRO (4,2MM A 5,0MM), INCLUSIVE ESPAÇADOR</t>
  </si>
  <si>
    <t>CORTE, DOBRA E MONTAGEM DE AÇO CA-50, DIÂMETRO (6,3MM A 12,5MM), INCLUSIVE ESPAÇADOR</t>
  </si>
  <si>
    <t xml:space="preserve">ED-50242 </t>
  </si>
  <si>
    <t>LAJE PRÉ-MOLDADA UNIDIRECIONAL COM LAJOTA CERÂMICA, CAPEAMENTO DE 4CM, SOBRECARGA DE 100KG/M2, ALTURA TOTAL DE 11CM E VÃO LIVRE MÁXIMO DE 3M, INCLUSIVE CONCRETO ESTRUTURAL, USINADO BOMBEADO COM FCK DE 20MPA, EXCLUSIVE TELA ARMADA E CIMBRAMENTO</t>
  </si>
  <si>
    <t xml:space="preserve">ED-19637 </t>
  </si>
  <si>
    <t>CIMBRAMENTO PARA LAJE PRÉ-MOLDADA COM ESCORAMENTO METÁLICO, TIPO "A", ALTURA DE (200 ATÉ 310)CM, INCLUSIVE DESCARGA, MONTAGEM, DESMONTAGEM E CARGA</t>
  </si>
  <si>
    <t>m2 x mês</t>
  </si>
  <si>
    <t xml:space="preserve">ED-29563 </t>
  </si>
  <si>
    <t>ARMADURA DE TELA DE AÇO CA-60, SOLDADA TIPO Q-61, DIÂMETRO Ø3,4MM, TRAMA COM DIMENSÃO (150X150)MM, INCLUSIVE ESPAÇADOR, EXCLUSIVE CONCRETO</t>
  </si>
  <si>
    <t>3,65 X 2,00 x 1 - lajes da ISs conforme projeto arquitetônico</t>
  </si>
  <si>
    <t xml:space="preserve">ED-9903 </t>
  </si>
  <si>
    <t>VERGA OU CONTRAVERGA EM CONCRETO ESTRUTURAL PARA VÃOS DE ATÉ 150CM, PREPARADO EM OBRA COM BETONEIRA, CONTROLE "A", COM FCK 20 MPA, MOLDADA IN LOCO, INCLUSIVE ARMAÇÃO</t>
  </si>
  <si>
    <t>((0,90 + 0,30) X 2,00) X 0,15 X 0,10 - acima das portas ultrapassando 15cm de cada lado X largura X altura +
+ ((1,20 + 0,30) X 2,00) X 0,15 X 0,10 - acima das janelas ultrapassando 15cm de cada lado X largura X altura + 
+ ((1,20 + 0,30) X 2,00) X 0,15 X 0,10 - abaixo das janelas ultrapassando 15cm de cada lado X largura X altura</t>
  </si>
  <si>
    <t>REGULARIZAÇÃO MANUAL E COMPACTAÇÃO MECANIZADA DE TERRENO COM PLACA VIBRATÓRIA, EXCLUSIVE DESMATAMENTO, DESTOCAMENTO, LIMPEZA/ROÇADA DO TERRENO</t>
  </si>
  <si>
    <t>7.3</t>
  </si>
  <si>
    <t>7.4</t>
  </si>
  <si>
    <t xml:space="preserve">ED-50542 </t>
  </si>
  <si>
    <t>SOLEIRA EM GRANITO, NA COR CINZA ANDORINHA, ESP. 3CM, INCLUSIVE REJUNTAMENTO</t>
  </si>
  <si>
    <t>ENGRADAMENTO EM MADEIRA PARAJU OU EQUIVALENTE, PARA TELHAS CERÂMICAS OU DE CONCRETO, EXCLUSIVE TELHAS</t>
  </si>
  <si>
    <t>COBERTURA EM TELHA CERÂMICA, TIPO PLAN, INCLUSIVE FIXAÇÃO, EXCLUSIVE ENGRADAMENTO E MANTA ISOLANTE/ TÉRMICA</t>
  </si>
  <si>
    <t>ENGRADAMENTO EM MADEIRA PARAJU OU EQUIVALENTE, PARA TELHAS DE FIBROCIMENTO ONDULADAS, EXCLUSIVE TELHAS</t>
  </si>
  <si>
    <t>7.5</t>
  </si>
  <si>
    <t>7.6</t>
  </si>
  <si>
    <t>COBERTURA EM TELHA DE FIBROCIMENTO, TIPO ONDULADA, ESP. 8MM, COM RECOBRIMENTO TRANSVERSAL E LONGITUDINAL, EXCLUSIVE CUMEEIRA E ENGRADAMENTO, INCLUSIVE ACESSÓRIOS DE FIXAÇÃO E IÇAMENTO MANUAL VERTICAL</t>
  </si>
  <si>
    <t>CUMEEIRA PARA TELHA CERÂMICA, INCLUSIVE EMBOÇAMENTO COM ARGAMASSA, TRAÇO 1:2:9 (CIMENTO, CAL E AREIA), COM PREPARO MECANIZADO</t>
  </si>
  <si>
    <t>PONTO DE EMBUTIR PARA ESGOTO EM TUBO PVC RÍGIDO, PB - SÉRIE NORMAL, DN 40MM (1.1/2"), EMBUTIDO NA ALVENARIA/PISO, COM ALTURA (SAÍDA) DE 50CM DO PISO, COM DISTÂNCIA DE ATÉ CINCO (5) METROS DO RAMAL DE ESGOTO, EXCLUSIVE ESCAVAÇÃO, INCLUSIVE CONEXÕES E FIXAÇÃO DO TUBO COM ENCHIMENTO DO RASGO NA ALVENARIA/CONCRETO COM ARGAMASSA</t>
  </si>
  <si>
    <t>PONTO DE EMBUTIR PARA ESGOTO EM TUBO PVC RÍGIDO, PBV - SÉRIE NORMAL, DN 100MM (4"), EMBUTIDO EM PISO COM DISTÂNCIA DE ATÉ CINCO (5) METROS DO RAMAL DE ESGOTO, INCLUSIVE CONEXÕES E FIXAÇÃO DO TUBO COM ENCHIMENTO DO RASGO NO CONCRETO COM ARGAMASSA</t>
  </si>
  <si>
    <t>CAIXA D´ÁGUA DE POLIETILENO, CAPACIDADE DE 500L, INCLUSIVE TAMPA, TORNEIRA DE BOIA, EXTRAVASOR, TUBO DE LIMPEZA E ACESSÓRIOS, EXCLUSIVE TUBULAÇÃO DE ENTRADA/ SAÍDA DE ÁGUA</t>
  </si>
  <si>
    <t>BACIA SANITÁRIA (VASO) DE LOUÇA CONVENCIONAL, ACESSÍVEL (PCR/PMR), COR BRANCA, COM INSTALAÇÃO DE SÓCULO NA BASE DA BACIA ACOMPANHANDO A PROJEÇÃO DA BASE, NÃO ULTRAPASSANDO ALTURA DE 5CM, ALTURA MÁXIMA DE 46CM ( BACIA+ASSENTO), INCLUSIVE ACESSÓRIOS DE FIXAÇÃO/ VEDAÇÃO, VÁLVULA DE DESCARGA METÁLICA COM ACIONAMENTO DUPLO, TUBO DE LIGAÇÃO DE LATÃO COM CANOPLA, FORNECIMENTO, INSTALAÇÃO E REJUNTAMENTO, EXCLUSIVE ASSENTO</t>
  </si>
  <si>
    <t>9.6</t>
  </si>
  <si>
    <t>9.7</t>
  </si>
  <si>
    <t>9.8</t>
  </si>
  <si>
    <t>9.9</t>
  </si>
  <si>
    <t>9.10</t>
  </si>
  <si>
    <t>9.11</t>
  </si>
  <si>
    <t>9.12</t>
  </si>
  <si>
    <t>9.13</t>
  </si>
  <si>
    <t>9.14</t>
  </si>
  <si>
    <t>9.15</t>
  </si>
  <si>
    <t>9.16</t>
  </si>
  <si>
    <t>9.17</t>
  </si>
  <si>
    <t>9.18</t>
  </si>
  <si>
    <t>CALHA EM CHAPA GALVANIZADA, ESP. 0,8MM (GSG-22), COM DESENVOLVIMENTO DE 40CM, INCLUSIVE IÇAMENTO MANUAL VERTICAL</t>
  </si>
  <si>
    <t>RUFO E CONTRARRUFO EM CHAPA GALVANIZADA, ESP. 0,65MM (GSG-24), COM DESENVOLVIMENTO DE 20CM, INCLUSIVE IÇAMENTO MANUAL VERTICAL</t>
  </si>
  <si>
    <t>CHAPIM EM CHAPA GALVANIZADA, COM PINGADEIRA, ESP. 0,65MM (GSG-24), COM DESENVOLVIMENTO DE 35CM, INCLUSIVE IÇAMENTO MANUAL VERTICAL</t>
  </si>
  <si>
    <t>CONDUTOR CIRCULAR DE ÁGUA PLUVIAL PARA DO TELHADO EM TUBO DE PVC, DIÂMETRO DE 100MM, INCLUSIVE CONEXÕES E SUPORTES</t>
  </si>
  <si>
    <t>para sistemas de energia (iluminação e tomadas das ISs) conforme projeto</t>
  </si>
  <si>
    <t xml:space="preserve">ED-34461 </t>
  </si>
  <si>
    <t>DISJUNTOR MONOPOLAR TIPO DIN, CORRENTE NOMINAL DE 16A, FORNECIMENTO E INSTALAÇÃO, INCLUSIVE TERMINAL ILHÓS</t>
  </si>
  <si>
    <t xml:space="preserve">ED-34463 </t>
  </si>
  <si>
    <t>DISJUNTOR MONOPOLAR TIPO DIN, CORRENTE NOMINAL DE 25A, FORNECIMENTO E INSTALAÇÃO, INCLUSIVE TERMINAL ILHÓS</t>
  </si>
  <si>
    <t xml:space="preserve">ED-13357 </t>
  </si>
  <si>
    <t>LUMINÁRIA PLAFON REDONDO DE VIDRO JATEADO REDONDO COMPLETA, DIÂMETRO 25 CM, PARA UMA (1) LÂMPADA LED, POTÊNCIA 15W, BULBO A65, FORNECIMENTO E INSTALAÇÃO, INCLUSIVE BASE E LÂMPADA</t>
  </si>
  <si>
    <t>11.5</t>
  </si>
  <si>
    <t>11.6</t>
  </si>
  <si>
    <t>11.7</t>
  </si>
  <si>
    <t>11.8</t>
  </si>
  <si>
    <t>PORTA METÁLICA EM CHAPA DOBRADA, DIMENSÃO (90X210)CM, TIPO DE ABRIR, UMA (1) FOLHA, INCLUSIVE ESTRUTURA, DOBRADIÇA E MARCO, EXCLUSIVE FECHADURA E PINTURA</t>
  </si>
  <si>
    <t>FORNECIMENTO DE JANELA BASCULANTE DE FERRO, INCLUSIVE ASSENTAMENTO, FERRAGENS E ACESSÓRIOS</t>
  </si>
  <si>
    <t>FORNECIMENTO DE GRADE FIXA DE FERRO, PARA PROTEÇÃO DE JANELA, INCLUSIVE ASSENTAMENTO E ACESSÓRIOS</t>
  </si>
  <si>
    <t>CHAPISCO COM ARGAMASSA, TRAÇO 1:3 (CIMENTO E AREIA), ESP. 5MM, APLICADO EM ALVENARIA/ESTRUTURA DE CONCRETO COM COLHER, INCLUSIVE ARGAMASSA COM PREPARO MECANIZADO</t>
  </si>
  <si>
    <t>CHAPISCO COM ARGAMASSA, TRAÇO 1:3 (CIMENTO E AREIA), ESP. 5MM, APLICADO EM TETO COM COLHER, INCLUSIVE ARGAMASSA COM PREPARO MECANIZADO</t>
  </si>
  <si>
    <t>REVESTIMENTO COM ARGAMASSA EM CAMADA ÚNICA, APLICADO EM PAREDE, TRAÇO 1:3 (CIMENTO E AREIA), ESP. 20MM, APLICAÇÃO MANUAL, INCLUSIVE ARGAMASSA COM PREPARO MECANIZADO, EXCLUSIVE CHAPISCO</t>
  </si>
  <si>
    <t>REVESTIMENTO COM ARGAMASSA EM CAMADA ÚNICA, APLICADOEM TETO, TRAÇO 1:3 (CIMENTO E AREIA), ESP. 20MM, APLICAÇÃO MANUAL, INCLUSIVE ARGAMASSA COM PREPARO MECANIZADO, EXCLUSIVE CHAPISCO</t>
  </si>
  <si>
    <t>13.4</t>
  </si>
  <si>
    <t>13.5</t>
  </si>
  <si>
    <t>13.6</t>
  </si>
  <si>
    <t>ED-29731</t>
  </si>
  <si>
    <t>VIDRO IMPRESSO (FANTASIA) TRANSLÚCIDO INCOLOR, ESP. 4MM, INCLUSIVE FIXAÇÃO E VEDAÇÃO COM GUARNIÇÃO/GAXETA DE BORRACHA NEOPRENE, FORNECIMENTO E INSTALAÇÃO, EXCLUSIVE CAIXILHO/PERFIL</t>
  </si>
  <si>
    <t>ESPELHO CRISTAL, DIMENSÃO (60X90)CM, COM ESP. 4MM, EM ACABAMENTO LAPIDADO, INCLUSIVE FIXAÇÃO COM PARAFUSO TIPO  FINESSON, FORNECIMENTO E INSTALAÇÃO</t>
  </si>
  <si>
    <t xml:space="preserve">OBRA: CONSTRUÇÃO DE 2 BANHEIROS ADAPTADOS </t>
  </si>
  <si>
    <t>15.3</t>
  </si>
  <si>
    <t>15.4</t>
  </si>
  <si>
    <t>15.5</t>
  </si>
  <si>
    <t>15.6</t>
  </si>
  <si>
    <t>15.7</t>
  </si>
  <si>
    <t>15.8</t>
  </si>
  <si>
    <t>15.9</t>
  </si>
  <si>
    <t>REGIÃO/MÊS DE REFERÊNCIA: SEINFRA "CONSTRUÇÃO DE EDIFÍCIOS" - REGIÃO LESTE COM DESONERAÇÃO ABRIL/2024 DESONERADA</t>
  </si>
  <si>
    <t>MÊS 03</t>
  </si>
  <si>
    <t>LOCAL: QUADRA DOS CAEIROS, COMUNIDADE DOS CAEIROS - ZONA RURAL SENHORA DOS REMÉDIOS/MG</t>
  </si>
  <si>
    <t>ANEXO A MEMORIA DE CALCULO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</si>
</sst>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quot;R$&quot;\ #,##0.00"/>
    <numFmt numFmtId="166" formatCode="#,##0.0000"/>
    <numFmt numFmtId="167" formatCode="0.000"/>
  </numFmts>
  <fonts count="43"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0"/>
      <name val="Arial"/>
      <family val="2"/>
    </font>
    <font>
      <sz val="8"/>
      <name val="Arial"/>
      <family val="2"/>
    </font>
    <font>
      <sz val="8"/>
      <color rgb="FFFF0000"/>
      <name val="Arial"/>
      <family val="2"/>
    </font>
    <font>
      <b/>
      <sz val="8"/>
      <name val="Arial"/>
      <family val="2"/>
    </font>
    <font>
      <b/>
      <sz val="8"/>
      <color rgb="FFFF0000"/>
      <name val="Arial"/>
      <family val="2"/>
    </font>
    <font>
      <sz val="10"/>
      <color rgb="FFFF0000"/>
      <name val="Arial"/>
      <family val="2"/>
    </font>
    <font>
      <b/>
      <sz val="10"/>
      <color rgb="FFFF0000"/>
      <name val="Arial"/>
      <family val="2"/>
    </font>
    <font>
      <b/>
      <sz val="9"/>
      <name val="Arial"/>
      <family val="2"/>
    </font>
    <font>
      <sz val="10"/>
      <name val="Calibri"/>
      <family val="2"/>
    </font>
    <font>
      <sz val="10"/>
      <color theme="1"/>
      <name val="Arial"/>
      <family val="2"/>
    </font>
    <font>
      <b/>
      <sz val="10"/>
      <color theme="1"/>
      <name val="Arial"/>
      <family val="2"/>
    </font>
    <font>
      <b/>
      <sz val="12"/>
      <color theme="1"/>
      <name val="Arial"/>
      <family val="2"/>
    </font>
    <font>
      <sz val="8"/>
      <color theme="1"/>
      <name val="Arial"/>
      <family val="2"/>
    </font>
    <font>
      <sz val="6"/>
      <name val="Arial"/>
      <family val="2"/>
    </font>
    <font>
      <b/>
      <sz val="6"/>
      <name val="Arial"/>
      <family val="2"/>
    </font>
    <font>
      <b/>
      <sz val="8"/>
      <color theme="0"/>
      <name val="Arial"/>
      <family val="2"/>
    </font>
    <font>
      <sz val="6"/>
      <color rgb="FFFF0000"/>
      <name val="Arial"/>
      <family val="2"/>
    </font>
    <font>
      <sz val="8"/>
      <color indexed="8"/>
      <name val="Calibri"/>
      <family val="2"/>
      <scheme val="minor"/>
    </font>
    <font>
      <sz val="6"/>
      <color theme="1"/>
      <name val="Arial"/>
      <family val="2"/>
    </font>
    <font>
      <sz val="9"/>
      <color indexed="81"/>
      <name val="Segoe UI"/>
      <family val="2"/>
    </font>
    <font>
      <b/>
      <sz val="9"/>
      <color indexed="81"/>
      <name val="Segoe UI"/>
      <family val="2"/>
    </font>
    <font>
      <b/>
      <sz val="8"/>
      <color theme="1"/>
      <name val="Arial"/>
      <family val="2"/>
    </font>
    <font>
      <b/>
      <sz val="12"/>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right/>
      <top style="thin">
        <color auto="1"/>
      </top>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2" fillId="23" borderId="4" applyNumberFormat="0" applyFont="0" applyAlignment="0" applyProtection="0"/>
    <xf numFmtId="9" fontId="2" fillId="0" borderId="0" applyFont="0" applyFill="0" applyBorder="0" applyAlignment="0" applyProtection="0"/>
    <xf numFmtId="0" fontId="12" fillId="16"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43" fontId="1"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cellStyleXfs>
  <cellXfs count="292">
    <xf numFmtId="0" fontId="0" fillId="0" borderId="0" xfId="0"/>
    <xf numFmtId="0" fontId="20" fillId="0" borderId="13" xfId="0"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4" fontId="20" fillId="0" borderId="10" xfId="0" applyNumberFormat="1" applyFont="1" applyBorder="1" applyAlignment="1">
      <alignment horizontal="center" vertical="center" wrapText="1"/>
    </xf>
    <xf numFmtId="0" fontId="2" fillId="0" borderId="12" xfId="0" applyFont="1" applyBorder="1" applyAlignment="1">
      <alignment vertical="center"/>
    </xf>
    <xf numFmtId="0" fontId="2" fillId="0" borderId="13" xfId="0" applyFont="1" applyBorder="1" applyAlignment="1">
      <alignment vertical="center"/>
    </xf>
    <xf numFmtId="49" fontId="20" fillId="0" borderId="12" xfId="0" applyNumberFormat="1" applyFont="1" applyBorder="1" applyAlignment="1">
      <alignment vertical="center"/>
    </xf>
    <xf numFmtId="4" fontId="2" fillId="0" borderId="13"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0" fillId="0" borderId="12" xfId="0" applyFont="1" applyBorder="1" applyAlignment="1">
      <alignment horizontal="left" vertical="center"/>
    </xf>
    <xf numFmtId="0" fontId="20" fillId="0" borderId="0" xfId="0" applyFont="1" applyAlignment="1">
      <alignment vertical="center"/>
    </xf>
    <xf numFmtId="0" fontId="2" fillId="0" borderId="0" xfId="0" applyFont="1" applyAlignment="1">
      <alignment vertical="center" wrapText="1"/>
    </xf>
    <xf numFmtId="4" fontId="2" fillId="0" borderId="18" xfId="0" applyNumberFormat="1" applyFont="1" applyBorder="1" applyAlignment="1">
      <alignment horizontal="center" vertical="center"/>
    </xf>
    <xf numFmtId="0" fontId="2" fillId="0" borderId="22" xfId="0" applyFont="1" applyBorder="1" applyAlignment="1">
      <alignment horizontal="center" vertical="center"/>
    </xf>
    <xf numFmtId="0" fontId="20" fillId="0" borderId="21" xfId="0" applyFont="1" applyBorder="1" applyAlignment="1">
      <alignment vertical="center"/>
    </xf>
    <xf numFmtId="49" fontId="2" fillId="0" borderId="21" xfId="0" applyNumberFormat="1" applyFont="1" applyBorder="1" applyAlignment="1">
      <alignment horizontal="center" vertical="center"/>
    </xf>
    <xf numFmtId="165" fontId="2" fillId="0" borderId="26" xfId="0" applyNumberFormat="1" applyFont="1" applyBorder="1" applyAlignment="1">
      <alignment horizontal="center" vertical="center" wrapText="1"/>
    </xf>
    <xf numFmtId="165" fontId="20" fillId="0" borderId="26" xfId="0" applyNumberFormat="1" applyFont="1" applyBorder="1" applyAlignment="1">
      <alignment horizontal="center" vertical="center" wrapText="1"/>
    </xf>
    <xf numFmtId="10" fontId="2" fillId="0" borderId="25" xfId="0" applyNumberFormat="1" applyFont="1" applyBorder="1" applyAlignment="1">
      <alignment horizontal="center" vertical="center" wrapText="1"/>
    </xf>
    <xf numFmtId="0" fontId="2" fillId="0" borderId="14" xfId="0" applyFont="1" applyBorder="1" applyAlignment="1">
      <alignment vertical="center"/>
    </xf>
    <xf numFmtId="0" fontId="20" fillId="0" borderId="12" xfId="0" applyFont="1" applyBorder="1" applyAlignment="1">
      <alignment vertical="center"/>
    </xf>
    <xf numFmtId="0" fontId="20" fillId="0" borderId="12" xfId="0" applyFont="1" applyBorder="1" applyAlignment="1">
      <alignment horizontal="right" vertical="center"/>
    </xf>
    <xf numFmtId="165" fontId="2" fillId="0" borderId="0" xfId="0" applyNumberFormat="1" applyFont="1" applyAlignment="1">
      <alignment vertical="center"/>
    </xf>
    <xf numFmtId="0" fontId="2" fillId="0" borderId="17" xfId="0" applyFont="1" applyBorder="1" applyAlignment="1">
      <alignment vertical="center"/>
    </xf>
    <xf numFmtId="0" fontId="2" fillId="0" borderId="22" xfId="0" applyFont="1" applyBorder="1" applyAlignment="1">
      <alignment vertical="center"/>
    </xf>
    <xf numFmtId="49" fontId="21" fillId="0" borderId="10" xfId="0" applyNumberFormat="1" applyFont="1" applyBorder="1" applyAlignment="1">
      <alignment horizontal="center" vertical="center" wrapText="1"/>
    </xf>
    <xf numFmtId="0" fontId="20" fillId="0" borderId="13" xfId="0" applyFont="1" applyBorder="1" applyAlignment="1">
      <alignment horizontal="right" vertical="center"/>
    </xf>
    <xf numFmtId="0" fontId="21" fillId="0" borderId="10" xfId="0" applyFont="1" applyBorder="1" applyAlignment="1">
      <alignment horizontal="center" vertical="center"/>
    </xf>
    <xf numFmtId="165" fontId="21" fillId="0" borderId="10" xfId="0" applyNumberFormat="1" applyFont="1" applyBorder="1" applyAlignment="1">
      <alignment horizontal="center" vertical="center" wrapText="1"/>
    </xf>
    <xf numFmtId="0" fontId="21" fillId="0" borderId="0" xfId="0" applyFont="1" applyAlignment="1">
      <alignment vertical="center"/>
    </xf>
    <xf numFmtId="2" fontId="23" fillId="0" borderId="10" xfId="0" applyNumberFormat="1" applyFont="1" applyBorder="1" applyAlignment="1">
      <alignment horizontal="center" vertical="center" wrapText="1"/>
    </xf>
    <xf numFmtId="165" fontId="23" fillId="0" borderId="10" xfId="0" applyNumberFormat="1" applyFont="1" applyBorder="1" applyAlignment="1">
      <alignment horizontal="center" vertical="center" wrapText="1"/>
    </xf>
    <xf numFmtId="0" fontId="23" fillId="0" borderId="0" xfId="0" applyFont="1" applyAlignment="1">
      <alignment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0" fillId="0" borderId="13" xfId="0" applyFont="1" applyBorder="1" applyAlignment="1">
      <alignment horizontal="left" vertical="center"/>
    </xf>
    <xf numFmtId="0" fontId="20" fillId="0" borderId="0" xfId="0" applyFont="1" applyAlignment="1">
      <alignment horizontal="left" vertical="center"/>
    </xf>
    <xf numFmtId="0" fontId="2" fillId="0" borderId="22" xfId="0" applyFont="1" applyBorder="1" applyAlignment="1">
      <alignment horizontal="left" vertical="center"/>
    </xf>
    <xf numFmtId="0" fontId="2" fillId="0" borderId="0" xfId="0" applyFont="1" applyAlignment="1">
      <alignment horizontal="left" vertical="center"/>
    </xf>
    <xf numFmtId="49" fontId="23" fillId="0" borderId="10" xfId="0" applyNumberFormat="1" applyFont="1" applyBorder="1" applyAlignment="1">
      <alignment horizontal="center" vertical="center" wrapText="1"/>
    </xf>
    <xf numFmtId="0" fontId="21" fillId="0" borderId="0" xfId="0" applyFont="1" applyAlignment="1">
      <alignment vertical="center" wrapText="1"/>
    </xf>
    <xf numFmtId="0" fontId="21" fillId="0" borderId="10" xfId="0" applyFont="1" applyBorder="1" applyAlignment="1">
      <alignment horizontal="center" vertical="center" wrapText="1"/>
    </xf>
    <xf numFmtId="0" fontId="21" fillId="0" borderId="10" xfId="0" applyFont="1" applyBorder="1" applyAlignment="1">
      <alignment horizontal="left" vertical="center" wrapText="1"/>
    </xf>
    <xf numFmtId="0" fontId="23" fillId="0" borderId="10"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0" xfId="0" applyFont="1" applyAlignment="1">
      <alignment vertical="center" wrapText="1"/>
    </xf>
    <xf numFmtId="0" fontId="21" fillId="0" borderId="0" xfId="0" applyFont="1" applyAlignment="1">
      <alignment horizontal="center" vertical="center"/>
    </xf>
    <xf numFmtId="2" fontId="21" fillId="0" borderId="0" xfId="0" applyNumberFormat="1" applyFont="1" applyAlignment="1">
      <alignment horizontal="center" vertical="center"/>
    </xf>
    <xf numFmtId="0" fontId="2" fillId="0" borderId="28" xfId="0" applyFont="1" applyBorder="1" applyAlignment="1">
      <alignment vertical="center"/>
    </xf>
    <xf numFmtId="0" fontId="23" fillId="0" borderId="10" xfId="0" applyFont="1" applyBorder="1" applyAlignment="1">
      <alignment horizontal="center" vertical="center"/>
    </xf>
    <xf numFmtId="165" fontId="20" fillId="0" borderId="13" xfId="0" applyNumberFormat="1" applyFont="1" applyBorder="1" applyAlignment="1">
      <alignment horizontal="right" vertical="center"/>
    </xf>
    <xf numFmtId="0" fontId="2" fillId="0" borderId="28" xfId="0" applyFont="1" applyBorder="1" applyAlignment="1">
      <alignment horizontal="left"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0" xfId="0" applyFont="1" applyAlignment="1">
      <alignment vertical="center"/>
    </xf>
    <xf numFmtId="0" fontId="26" fillId="0" borderId="13" xfId="0" applyFont="1" applyBorder="1" applyAlignment="1">
      <alignment horizontal="center" vertical="center"/>
    </xf>
    <xf numFmtId="0" fontId="26" fillId="0" borderId="13" xfId="0" applyFont="1" applyBorder="1" applyAlignment="1">
      <alignment vertical="center"/>
    </xf>
    <xf numFmtId="0" fontId="2" fillId="0" borderId="18" xfId="0" applyFont="1" applyBorder="1" applyAlignment="1">
      <alignment horizontal="center" vertical="center"/>
    </xf>
    <xf numFmtId="0" fontId="25" fillId="0" borderId="18" xfId="0" applyFont="1" applyBorder="1" applyAlignment="1">
      <alignment horizontal="center" vertical="center"/>
    </xf>
    <xf numFmtId="0" fontId="25" fillId="0" borderId="0" xfId="0" applyFont="1" applyAlignment="1">
      <alignment vertical="center" wrapText="1"/>
    </xf>
    <xf numFmtId="0" fontId="2" fillId="0" borderId="13" xfId="0" applyFont="1" applyBorder="1" applyAlignment="1">
      <alignment horizontal="left" vertical="center" wrapText="1"/>
    </xf>
    <xf numFmtId="0" fontId="25" fillId="0" borderId="13" xfId="0" applyFont="1" applyBorder="1" applyAlignment="1">
      <alignment horizontal="left" vertical="center" wrapText="1"/>
    </xf>
    <xf numFmtId="0" fontId="26" fillId="0" borderId="13" xfId="0" applyFont="1" applyBorder="1" applyAlignment="1">
      <alignment horizontal="left" vertical="center" wrapText="1"/>
    </xf>
    <xf numFmtId="0" fontId="26" fillId="0" borderId="18" xfId="0" applyFont="1" applyBorder="1" applyAlignment="1">
      <alignment horizontal="left" vertical="center" wrapText="1"/>
    </xf>
    <xf numFmtId="2" fontId="2" fillId="0" borderId="13" xfId="0" applyNumberFormat="1" applyFont="1" applyBorder="1" applyAlignment="1">
      <alignment horizontal="center" vertical="center"/>
    </xf>
    <xf numFmtId="2" fontId="25" fillId="0" borderId="13" xfId="0" applyNumberFormat="1" applyFont="1" applyBorder="1" applyAlignment="1">
      <alignment horizontal="center" vertical="center"/>
    </xf>
    <xf numFmtId="2" fontId="26" fillId="0" borderId="13" xfId="0" applyNumberFormat="1" applyFont="1" applyBorder="1" applyAlignment="1">
      <alignment horizontal="center" vertical="center"/>
    </xf>
    <xf numFmtId="2" fontId="20" fillId="0" borderId="13" xfId="0" applyNumberFormat="1" applyFont="1" applyBorder="1" applyAlignment="1">
      <alignment horizontal="center" vertical="center"/>
    </xf>
    <xf numFmtId="2" fontId="21" fillId="0" borderId="10" xfId="0" applyNumberFormat="1" applyFont="1" applyBorder="1" applyAlignment="1">
      <alignment horizontal="center" vertical="center"/>
    </xf>
    <xf numFmtId="2" fontId="2" fillId="0" borderId="0" xfId="0" applyNumberFormat="1" applyFont="1" applyAlignment="1">
      <alignment horizontal="center" vertical="center"/>
    </xf>
    <xf numFmtId="4" fontId="23" fillId="0" borderId="10" xfId="0" applyNumberFormat="1" applyFont="1" applyBorder="1" applyAlignment="1">
      <alignment horizontal="center" vertical="center" wrapText="1"/>
    </xf>
    <xf numFmtId="0" fontId="27" fillId="0" borderId="19" xfId="0" applyFont="1" applyBorder="1" applyAlignment="1">
      <alignment horizontal="center" vertical="center"/>
    </xf>
    <xf numFmtId="2" fontId="27" fillId="0" borderId="20" xfId="0" applyNumberFormat="1" applyFont="1" applyBorder="1" applyAlignment="1">
      <alignment horizontal="center" vertical="center"/>
    </xf>
    <xf numFmtId="165" fontId="25" fillId="0" borderId="0" xfId="0" applyNumberFormat="1" applyFont="1" applyAlignment="1">
      <alignment vertical="center"/>
    </xf>
    <xf numFmtId="165" fontId="22" fillId="0" borderId="0" xfId="0" applyNumberFormat="1" applyFont="1" applyAlignment="1">
      <alignment vertical="center"/>
    </xf>
    <xf numFmtId="165" fontId="24" fillId="0" borderId="0" xfId="0" applyNumberFormat="1" applyFont="1" applyAlignment="1">
      <alignment vertical="center"/>
    </xf>
    <xf numFmtId="166" fontId="2" fillId="0" borderId="0" xfId="0" applyNumberFormat="1" applyFont="1" applyAlignment="1">
      <alignment vertical="center"/>
    </xf>
    <xf numFmtId="166" fontId="25" fillId="0" borderId="0" xfId="0" applyNumberFormat="1" applyFont="1" applyAlignment="1">
      <alignment vertical="center"/>
    </xf>
    <xf numFmtId="166" fontId="21" fillId="0" borderId="0" xfId="0" applyNumberFormat="1" applyFont="1" applyAlignment="1">
      <alignment vertical="center"/>
    </xf>
    <xf numFmtId="166" fontId="23" fillId="0" borderId="0" xfId="0" applyNumberFormat="1" applyFont="1" applyAlignment="1">
      <alignment vertical="center"/>
    </xf>
    <xf numFmtId="2" fontId="20" fillId="0" borderId="10" xfId="0" applyNumberFormat="1" applyFont="1" applyBorder="1" applyAlignment="1">
      <alignment horizontal="center" vertical="center"/>
    </xf>
    <xf numFmtId="49" fontId="20" fillId="0" borderId="10" xfId="0" applyNumberFormat="1" applyFont="1" applyBorder="1" applyAlignment="1">
      <alignment horizontal="center" vertical="center"/>
    </xf>
    <xf numFmtId="0" fontId="20" fillId="0" borderId="10" xfId="0" applyFont="1" applyBorder="1" applyAlignment="1">
      <alignment horizontal="center" vertical="center"/>
    </xf>
    <xf numFmtId="165" fontId="25" fillId="0" borderId="0" xfId="0" applyNumberFormat="1" applyFont="1" applyAlignment="1">
      <alignment horizontal="center" vertical="center"/>
    </xf>
    <xf numFmtId="166" fontId="2" fillId="0" borderId="0" xfId="0" applyNumberFormat="1" applyFont="1" applyAlignment="1">
      <alignment horizontal="center" vertical="center"/>
    </xf>
    <xf numFmtId="2" fontId="23" fillId="0" borderId="10" xfId="0" applyNumberFormat="1" applyFont="1" applyBorder="1" applyAlignment="1">
      <alignment horizontal="center" vertical="center"/>
    </xf>
    <xf numFmtId="0" fontId="2" fillId="0" borderId="13" xfId="0" applyFont="1" applyBorder="1" applyAlignment="1">
      <alignment horizontal="center" vertical="center"/>
    </xf>
    <xf numFmtId="0" fontId="23" fillId="0" borderId="10" xfId="0" applyFont="1" applyBorder="1" applyAlignment="1">
      <alignment vertical="center" wrapText="1"/>
    </xf>
    <xf numFmtId="0" fontId="20" fillId="0" borderId="21" xfId="0" applyFont="1" applyBorder="1" applyAlignment="1">
      <alignment horizontal="center" vertical="center"/>
    </xf>
    <xf numFmtId="0" fontId="20" fillId="0" borderId="0" xfId="0" applyFont="1" applyAlignment="1">
      <alignment horizontal="center" vertical="center"/>
    </xf>
    <xf numFmtId="0" fontId="2" fillId="0" borderId="21" xfId="0" applyFont="1" applyBorder="1" applyAlignment="1">
      <alignment horizontal="center" vertical="center"/>
    </xf>
    <xf numFmtId="4" fontId="20" fillId="0" borderId="0" xfId="0" applyNumberFormat="1" applyFont="1" applyAlignment="1">
      <alignment vertical="center"/>
    </xf>
    <xf numFmtId="2" fontId="20" fillId="0" borderId="27" xfId="0" applyNumberFormat="1" applyFont="1" applyBorder="1" applyAlignment="1">
      <alignment vertical="center"/>
    </xf>
    <xf numFmtId="0" fontId="2" fillId="0" borderId="17" xfId="0" applyFont="1" applyBorder="1" applyAlignment="1">
      <alignment horizontal="center" vertical="center"/>
    </xf>
    <xf numFmtId="4" fontId="20" fillId="0" borderId="22" xfId="0" applyNumberFormat="1" applyFont="1" applyBorder="1" applyAlignment="1">
      <alignment vertical="center"/>
    </xf>
    <xf numFmtId="2" fontId="20" fillId="0" borderId="24" xfId="0" applyNumberFormat="1" applyFont="1" applyBorder="1" applyAlignment="1">
      <alignment vertical="center"/>
    </xf>
    <xf numFmtId="2" fontId="20" fillId="0" borderId="0" xfId="0" applyNumberFormat="1" applyFont="1" applyAlignment="1">
      <alignment vertical="center"/>
    </xf>
    <xf numFmtId="4" fontId="20" fillId="0" borderId="27" xfId="0" applyNumberFormat="1" applyFont="1" applyBorder="1" applyAlignment="1">
      <alignment horizontal="center" vertical="center"/>
    </xf>
    <xf numFmtId="165" fontId="21" fillId="0" borderId="10" xfId="0" applyNumberFormat="1" applyFont="1" applyBorder="1" applyAlignment="1">
      <alignment horizontal="center" vertical="center"/>
    </xf>
    <xf numFmtId="0" fontId="25" fillId="0" borderId="13" xfId="0" applyFont="1" applyBorder="1" applyAlignment="1">
      <alignment horizontal="center" vertical="center"/>
    </xf>
    <xf numFmtId="4" fontId="26" fillId="0" borderId="13" xfId="0" applyNumberFormat="1" applyFont="1" applyBorder="1" applyAlignment="1">
      <alignment horizontal="center" vertical="center"/>
    </xf>
    <xf numFmtId="4" fontId="20" fillId="0" borderId="0" xfId="0" applyNumberFormat="1" applyFont="1" applyAlignment="1">
      <alignment horizontal="center" vertical="center"/>
    </xf>
    <xf numFmtId="0" fontId="20" fillId="0" borderId="10" xfId="0" applyFont="1" applyBorder="1" applyAlignment="1">
      <alignment horizontal="left" vertical="center" wrapText="1"/>
    </xf>
    <xf numFmtId="0" fontId="2" fillId="0" borderId="27" xfId="0" applyFont="1" applyBorder="1" applyAlignment="1">
      <alignment horizontal="center" vertical="center"/>
    </xf>
    <xf numFmtId="0" fontId="26" fillId="0" borderId="12" xfId="0" applyFont="1" applyBorder="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6" fillId="0" borderId="18" xfId="0" applyFont="1" applyBorder="1" applyAlignment="1">
      <alignment horizontal="center" vertical="center"/>
    </xf>
    <xf numFmtId="4" fontId="21" fillId="0" borderId="10" xfId="0" applyNumberFormat="1" applyFont="1" applyBorder="1" applyAlignment="1">
      <alignment horizontal="center" vertical="center" wrapText="1"/>
    </xf>
    <xf numFmtId="2" fontId="21" fillId="0" borderId="10" xfId="0" applyNumberFormat="1" applyFont="1" applyBorder="1" applyAlignment="1">
      <alignment horizontal="center" vertical="center" wrapText="1"/>
    </xf>
    <xf numFmtId="4" fontId="20" fillId="0" borderId="13" xfId="0" applyNumberFormat="1" applyFont="1" applyBorder="1" applyAlignment="1">
      <alignment horizontal="center" vertical="center" wrapText="1"/>
    </xf>
    <xf numFmtId="0" fontId="2" fillId="0" borderId="18" xfId="0" applyFont="1" applyBorder="1" applyAlignment="1">
      <alignment vertical="center" wrapText="1"/>
    </xf>
    <xf numFmtId="49" fontId="20" fillId="0" borderId="12" xfId="0" applyNumberFormat="1" applyFont="1" applyBorder="1" applyAlignment="1">
      <alignment vertical="center" wrapText="1"/>
    </xf>
    <xf numFmtId="0" fontId="20" fillId="0" borderId="13" xfId="0" applyFont="1" applyBorder="1" applyAlignment="1">
      <alignment vertical="center" wrapText="1"/>
    </xf>
    <xf numFmtId="0" fontId="21" fillId="0" borderId="12" xfId="0" applyFont="1" applyBorder="1" applyAlignment="1">
      <alignment horizontal="center" vertical="center" wrapText="1"/>
    </xf>
    <xf numFmtId="49" fontId="21" fillId="0" borderId="13" xfId="0" applyNumberFormat="1" applyFont="1" applyBorder="1" applyAlignment="1">
      <alignment horizontal="center" vertical="center" wrapText="1"/>
    </xf>
    <xf numFmtId="0" fontId="21" fillId="0" borderId="13" xfId="0" applyFont="1" applyBorder="1" applyAlignment="1">
      <alignment horizontal="left" vertical="center" wrapText="1"/>
    </xf>
    <xf numFmtId="4" fontId="21" fillId="0" borderId="13" xfId="0" applyNumberFormat="1" applyFont="1" applyBorder="1" applyAlignment="1">
      <alignment horizontal="center" vertical="center" wrapText="1"/>
    </xf>
    <xf numFmtId="0" fontId="21" fillId="0" borderId="18" xfId="0" applyFont="1" applyBorder="1" applyAlignment="1">
      <alignment vertical="center" wrapText="1"/>
    </xf>
    <xf numFmtId="0" fontId="2" fillId="0" borderId="22" xfId="0" applyFont="1" applyBorder="1" applyAlignment="1">
      <alignment horizontal="left" vertical="center" wrapText="1"/>
    </xf>
    <xf numFmtId="165" fontId="23" fillId="0" borderId="10" xfId="0" applyNumberFormat="1" applyFont="1" applyBorder="1" applyAlignment="1">
      <alignment horizontal="center" vertical="center"/>
    </xf>
    <xf numFmtId="4" fontId="23" fillId="0" borderId="0" xfId="0" applyNumberFormat="1" applyFont="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2" fontId="21" fillId="0" borderId="13" xfId="0" applyNumberFormat="1" applyFont="1" applyBorder="1" applyAlignment="1">
      <alignment horizontal="center" vertical="center"/>
    </xf>
    <xf numFmtId="165" fontId="21" fillId="0" borderId="13" xfId="0" applyNumberFormat="1" applyFont="1" applyBorder="1" applyAlignment="1">
      <alignment horizontal="center" vertical="center"/>
    </xf>
    <xf numFmtId="165" fontId="23" fillId="0" borderId="18" xfId="0" applyNumberFormat="1" applyFont="1" applyBorder="1" applyAlignment="1">
      <alignment horizontal="right" vertical="center" wrapText="1"/>
    </xf>
    <xf numFmtId="0" fontId="30" fillId="0" borderId="12" xfId="0" applyFont="1" applyBorder="1" applyAlignment="1">
      <alignment horizontal="left" vertical="center"/>
    </xf>
    <xf numFmtId="0" fontId="30" fillId="0" borderId="13" xfId="0" applyFont="1" applyBorder="1" applyAlignment="1">
      <alignment vertical="center"/>
    </xf>
    <xf numFmtId="0" fontId="30" fillId="0" borderId="13" xfId="0" applyFont="1" applyBorder="1" applyAlignment="1">
      <alignment horizontal="left" vertical="center" wrapText="1"/>
    </xf>
    <xf numFmtId="0" fontId="30" fillId="0" borderId="12" xfId="0" applyFont="1" applyBorder="1" applyAlignment="1">
      <alignment vertical="center"/>
    </xf>
    <xf numFmtId="4" fontId="30" fillId="0" borderId="13" xfId="0" applyNumberFormat="1" applyFont="1" applyBorder="1" applyAlignment="1">
      <alignment horizontal="center" vertical="center"/>
    </xf>
    <xf numFmtId="0" fontId="29" fillId="0" borderId="18" xfId="0" applyFont="1" applyBorder="1" applyAlignment="1">
      <alignment vertical="center"/>
    </xf>
    <xf numFmtId="0" fontId="29" fillId="0" borderId="0" xfId="0" applyFont="1" applyAlignment="1">
      <alignment vertical="center"/>
    </xf>
    <xf numFmtId="4" fontId="30" fillId="0" borderId="13" xfId="0" applyNumberFormat="1" applyFont="1" applyBorder="1" applyAlignment="1">
      <alignment vertical="center"/>
    </xf>
    <xf numFmtId="0" fontId="32" fillId="0" borderId="10" xfId="0" applyFont="1" applyBorder="1" applyAlignment="1">
      <alignment vertical="center" wrapText="1"/>
    </xf>
    <xf numFmtId="2" fontId="32" fillId="0" borderId="10" xfId="0" applyNumberFormat="1" applyFont="1" applyBorder="1" applyAlignment="1">
      <alignment horizontal="center" vertical="center" wrapText="1"/>
    </xf>
    <xf numFmtId="0" fontId="32" fillId="0" borderId="10" xfId="0" applyFont="1" applyBorder="1" applyAlignment="1">
      <alignment horizontal="left" vertical="center" wrapText="1"/>
    </xf>
    <xf numFmtId="49" fontId="32" fillId="0" borderId="10" xfId="0" applyNumberFormat="1" applyFont="1" applyBorder="1" applyAlignment="1">
      <alignment horizontal="center" vertical="center" wrapText="1"/>
    </xf>
    <xf numFmtId="4" fontId="32"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0" xfId="0" applyFont="1" applyAlignment="1">
      <alignment vertical="center" wrapText="1"/>
    </xf>
    <xf numFmtId="49" fontId="21" fillId="0" borderId="10" xfId="0" applyNumberFormat="1" applyFont="1" applyBorder="1" applyAlignment="1">
      <alignment horizontal="center" vertical="center"/>
    </xf>
    <xf numFmtId="49" fontId="23" fillId="0" borderId="10" xfId="0" applyNumberFormat="1" applyFont="1" applyBorder="1" applyAlignment="1">
      <alignment horizontal="center" vertical="center"/>
    </xf>
    <xf numFmtId="0" fontId="20" fillId="0" borderId="13" xfId="0" applyFont="1" applyBorder="1" applyAlignment="1">
      <alignment horizontal="left" vertical="center" wrapText="1"/>
    </xf>
    <xf numFmtId="0" fontId="20" fillId="0" borderId="18" xfId="0" applyFont="1" applyBorder="1" applyAlignment="1">
      <alignment horizontal="left" vertical="center" wrapText="1"/>
    </xf>
    <xf numFmtId="49" fontId="20" fillId="0" borderId="12" xfId="0" applyNumberFormat="1" applyFont="1" applyBorder="1" applyAlignment="1">
      <alignment horizontal="center" vertical="center" wrapText="1"/>
    </xf>
    <xf numFmtId="0" fontId="23" fillId="0" borderId="12" xfId="0" applyFont="1" applyBorder="1" applyAlignment="1">
      <alignment horizontal="center" vertical="center" wrapText="1"/>
    </xf>
    <xf numFmtId="0" fontId="32" fillId="0" borderId="12" xfId="0" applyFont="1" applyBorder="1" applyAlignment="1">
      <alignment horizontal="center" vertical="center" wrapText="1"/>
    </xf>
    <xf numFmtId="0" fontId="20" fillId="0" borderId="12" xfId="0" applyFont="1" applyBorder="1" applyAlignment="1">
      <alignment vertical="center" wrapText="1"/>
    </xf>
    <xf numFmtId="0" fontId="23" fillId="0" borderId="0" xfId="0" applyFont="1" applyAlignment="1">
      <alignment horizontal="center" vertical="center" wrapText="1"/>
    </xf>
    <xf numFmtId="0" fontId="33" fillId="0" borderId="0" xfId="0" applyFont="1" applyAlignment="1">
      <alignment horizontal="center" vertical="center"/>
    </xf>
    <xf numFmtId="0" fontId="0" fillId="0" borderId="0" xfId="0"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3" fillId="0" borderId="10" xfId="0" applyFont="1" applyBorder="1" applyAlignment="1">
      <alignment horizontal="center" vertical="center"/>
    </xf>
    <xf numFmtId="167" fontId="33" fillId="0" borderId="10" xfId="0" applyNumberFormat="1" applyFont="1" applyBorder="1" applyAlignment="1">
      <alignment horizontal="center" vertical="center"/>
    </xf>
    <xf numFmtId="0" fontId="35" fillId="0" borderId="24" xfId="0" applyFont="1" applyBorder="1" applyAlignment="1">
      <alignment horizontal="center" vertical="center" wrapText="1"/>
    </xf>
    <xf numFmtId="0" fontId="21" fillId="0" borderId="25" xfId="0" applyFont="1" applyBorder="1" applyAlignment="1">
      <alignment horizontal="center" vertical="center"/>
    </xf>
    <xf numFmtId="0" fontId="23" fillId="0" borderId="30" xfId="0" applyFont="1" applyBorder="1" applyAlignment="1">
      <alignment horizontal="center" vertical="center"/>
    </xf>
    <xf numFmtId="0" fontId="21" fillId="0" borderId="30" xfId="0" applyFont="1" applyBorder="1" applyAlignment="1">
      <alignment horizontal="center" vertical="center"/>
    </xf>
    <xf numFmtId="2" fontId="21" fillId="0" borderId="30" xfId="0" applyNumberFormat="1" applyFont="1" applyBorder="1" applyAlignment="1">
      <alignment horizontal="center" vertical="center"/>
    </xf>
    <xf numFmtId="0" fontId="36" fillId="0" borderId="18" xfId="0" applyFont="1" applyBorder="1" applyAlignment="1">
      <alignment horizontal="center" vertical="center"/>
    </xf>
    <xf numFmtId="0" fontId="36" fillId="0" borderId="10" xfId="0" applyFont="1" applyBorder="1" applyAlignment="1">
      <alignment horizontal="left" vertical="center"/>
    </xf>
    <xf numFmtId="0" fontId="33" fillId="0" borderId="18" xfId="0" applyFont="1" applyBorder="1" applyAlignment="1">
      <alignment horizontal="center" vertical="center"/>
    </xf>
    <xf numFmtId="0" fontId="33" fillId="0" borderId="10" xfId="0" applyFont="1" applyBorder="1" applyAlignment="1">
      <alignment horizontal="left" vertical="center"/>
    </xf>
    <xf numFmtId="0" fontId="23" fillId="0" borderId="13" xfId="0" applyFont="1" applyBorder="1" applyAlignment="1">
      <alignment horizontal="right" vertical="center"/>
    </xf>
    <xf numFmtId="0" fontId="23" fillId="0" borderId="18" xfId="0" applyFont="1" applyBorder="1" applyAlignment="1">
      <alignment horizontal="right" vertical="center"/>
    </xf>
    <xf numFmtId="0" fontId="23" fillId="0" borderId="0" xfId="0" applyFont="1" applyAlignment="1">
      <alignment horizontal="right" vertical="center"/>
    </xf>
    <xf numFmtId="0" fontId="23" fillId="0" borderId="0" xfId="0" applyFont="1" applyAlignment="1">
      <alignment horizontal="left" vertical="center"/>
    </xf>
    <xf numFmtId="2" fontId="23" fillId="0" borderId="0" xfId="0" applyNumberFormat="1" applyFont="1" applyAlignment="1">
      <alignment horizontal="center" vertical="center"/>
    </xf>
    <xf numFmtId="2" fontId="23" fillId="0" borderId="28" xfId="0" applyNumberFormat="1" applyFont="1" applyBorder="1" applyAlignment="1">
      <alignment horizontal="center" vertical="center"/>
    </xf>
    <xf numFmtId="0" fontId="33" fillId="0" borderId="0" xfId="0" applyFont="1" applyAlignment="1">
      <alignment horizontal="left" vertical="center"/>
    </xf>
    <xf numFmtId="0" fontId="34" fillId="0" borderId="0" xfId="0" applyFont="1" applyAlignment="1">
      <alignment horizontal="center" vertical="center"/>
    </xf>
    <xf numFmtId="2" fontId="37" fillId="0" borderId="0" xfId="0" applyNumberFormat="1" applyFont="1" applyAlignment="1">
      <alignment horizontal="center" vertical="center"/>
    </xf>
    <xf numFmtId="0" fontId="23" fillId="0" borderId="0" xfId="0" applyFont="1" applyAlignment="1">
      <alignment horizontal="center" vertical="center"/>
    </xf>
    <xf numFmtId="0" fontId="21" fillId="0" borderId="25" xfId="0" applyFont="1" applyBorder="1" applyAlignment="1">
      <alignment vertical="center" wrapText="1"/>
    </xf>
    <xf numFmtId="0" fontId="33" fillId="0" borderId="10" xfId="0" applyFont="1" applyBorder="1" applyAlignment="1">
      <alignment horizontal="center" vertical="center" wrapText="1"/>
    </xf>
    <xf numFmtId="4" fontId="22" fillId="0" borderId="10" xfId="0" applyNumberFormat="1" applyFont="1" applyBorder="1" applyAlignment="1">
      <alignment horizontal="center" vertical="center" wrapText="1"/>
    </xf>
    <xf numFmtId="165" fontId="2" fillId="0" borderId="28" xfId="0" applyNumberFormat="1" applyFont="1" applyBorder="1" applyAlignment="1">
      <alignment horizontal="center" vertical="center"/>
    </xf>
    <xf numFmtId="0" fontId="2" fillId="0" borderId="18" xfId="0" applyFont="1" applyBorder="1" applyAlignment="1">
      <alignment vertical="center"/>
    </xf>
    <xf numFmtId="49" fontId="2" fillId="0" borderId="17" xfId="0" applyNumberFormat="1" applyFont="1" applyBorder="1" applyAlignment="1">
      <alignment horizontal="center" vertical="center"/>
    </xf>
    <xf numFmtId="2" fontId="2" fillId="0" borderId="22" xfId="0" applyNumberFormat="1" applyFont="1" applyBorder="1" applyAlignment="1">
      <alignment horizontal="center" vertical="center"/>
    </xf>
    <xf numFmtId="4" fontId="2" fillId="0" borderId="22" xfId="0" applyNumberFormat="1" applyFont="1" applyBorder="1" applyAlignment="1">
      <alignment horizontal="center" vertical="center"/>
    </xf>
    <xf numFmtId="4" fontId="2" fillId="0" borderId="24" xfId="0" applyNumberFormat="1" applyFont="1" applyBorder="1" applyAlignment="1">
      <alignment horizontal="center" vertical="center"/>
    </xf>
    <xf numFmtId="4" fontId="26" fillId="0" borderId="0" xfId="0" applyNumberFormat="1" applyFont="1" applyAlignment="1">
      <alignment horizontal="center" vertical="center"/>
    </xf>
    <xf numFmtId="2" fontId="27" fillId="0" borderId="29" xfId="0" applyNumberFormat="1" applyFont="1" applyBorder="1" applyAlignment="1">
      <alignment vertical="center"/>
    </xf>
    <xf numFmtId="4" fontId="31" fillId="0" borderId="18" xfId="0" applyNumberFormat="1" applyFont="1" applyBorder="1" applyAlignment="1">
      <alignment vertical="center" wrapText="1"/>
    </xf>
    <xf numFmtId="0" fontId="25" fillId="0" borderId="28" xfId="0" applyFont="1" applyBorder="1" applyAlignment="1">
      <alignment vertical="center"/>
    </xf>
    <xf numFmtId="4" fontId="31" fillId="0" borderId="23" xfId="0" applyNumberFormat="1" applyFont="1" applyBorder="1" applyAlignment="1">
      <alignment vertical="center" wrapText="1"/>
    </xf>
    <xf numFmtId="0" fontId="25" fillId="0" borderId="0" xfId="0" applyFont="1" applyAlignment="1">
      <alignment horizontal="left" vertical="center"/>
    </xf>
    <xf numFmtId="0" fontId="33" fillId="24" borderId="10" xfId="0" applyFont="1" applyFill="1" applyBorder="1" applyAlignment="1">
      <alignment horizontal="center" vertical="center"/>
    </xf>
    <xf numFmtId="165" fontId="23" fillId="24" borderId="10" xfId="0" applyNumberFormat="1" applyFont="1" applyFill="1" applyBorder="1" applyAlignment="1">
      <alignment horizontal="center" vertical="center" wrapText="1"/>
    </xf>
    <xf numFmtId="165" fontId="23" fillId="24" borderId="10" xfId="0" applyNumberFormat="1" applyFont="1" applyFill="1" applyBorder="1" applyAlignment="1">
      <alignment vertical="center"/>
    </xf>
    <xf numFmtId="2" fontId="23" fillId="24" borderId="10" xfId="0" applyNumberFormat="1" applyFont="1" applyFill="1" applyBorder="1" applyAlignment="1">
      <alignment horizontal="center" vertical="center"/>
    </xf>
    <xf numFmtId="0" fontId="25" fillId="0" borderId="10" xfId="0" applyFont="1" applyBorder="1" applyAlignment="1">
      <alignment horizontal="left" vertical="center" wrapText="1"/>
    </xf>
    <xf numFmtId="0" fontId="22" fillId="0" borderId="10" xfId="0" applyFont="1" applyBorder="1" applyAlignment="1">
      <alignment vertical="center" wrapText="1"/>
    </xf>
    <xf numFmtId="2" fontId="22" fillId="0" borderId="10" xfId="0" applyNumberFormat="1" applyFont="1" applyBorder="1" applyAlignment="1">
      <alignment horizontal="center" vertical="center" wrapText="1"/>
    </xf>
    <xf numFmtId="0" fontId="20" fillId="0" borderId="14" xfId="0" applyFont="1" applyBorder="1" applyAlignment="1">
      <alignment horizontal="center" vertical="center"/>
    </xf>
    <xf numFmtId="0" fontId="20" fillId="0" borderId="28" xfId="0" applyFont="1" applyBorder="1" applyAlignment="1">
      <alignment horizontal="left" vertical="center"/>
    </xf>
    <xf numFmtId="165" fontId="20" fillId="0" borderId="28" xfId="0" applyNumberFormat="1" applyFont="1" applyBorder="1" applyAlignment="1">
      <alignment horizontal="center" vertical="center"/>
    </xf>
    <xf numFmtId="0" fontId="32" fillId="0" borderId="30" xfId="0" applyFont="1" applyBorder="1" applyAlignment="1">
      <alignment horizontal="center" vertical="center"/>
    </xf>
    <xf numFmtId="0" fontId="38" fillId="0" borderId="18" xfId="0" applyFont="1" applyBorder="1" applyAlignment="1">
      <alignment horizontal="center" vertical="center"/>
    </xf>
    <xf numFmtId="0" fontId="38" fillId="0" borderId="10" xfId="0" applyFont="1" applyBorder="1" applyAlignment="1">
      <alignment horizontal="left" vertical="center"/>
    </xf>
    <xf numFmtId="0" fontId="32" fillId="0" borderId="10" xfId="0" applyFont="1" applyBorder="1" applyAlignment="1">
      <alignment horizontal="center" vertical="center"/>
    </xf>
    <xf numFmtId="0" fontId="21" fillId="0" borderId="10" xfId="0" applyFont="1" applyBorder="1" applyAlignment="1">
      <alignment vertical="center" wrapText="1"/>
    </xf>
    <xf numFmtId="4" fontId="32" fillId="0" borderId="10" xfId="0" applyNumberFormat="1" applyFont="1" applyBorder="1" applyAlignment="1">
      <alignment horizontal="left" vertical="center" wrapText="1"/>
    </xf>
    <xf numFmtId="0" fontId="41" fillId="0" borderId="10" xfId="0" applyFont="1" applyBorder="1" applyAlignment="1">
      <alignment vertical="center" wrapText="1"/>
    </xf>
    <xf numFmtId="0" fontId="41" fillId="0" borderId="0" xfId="0" applyFont="1" applyAlignment="1">
      <alignment vertical="center" wrapText="1"/>
    </xf>
    <xf numFmtId="0" fontId="29" fillId="0" borderId="10" xfId="0" applyFont="1" applyBorder="1" applyAlignment="1">
      <alignment horizontal="center" vertical="center"/>
    </xf>
    <xf numFmtId="0" fontId="20" fillId="0" borderId="10" xfId="0" applyFont="1" applyBorder="1" applyAlignment="1">
      <alignment horizontal="center" vertical="center" wrapText="1"/>
    </xf>
    <xf numFmtId="0" fontId="22" fillId="0" borderId="18" xfId="0" applyFont="1" applyBorder="1" applyAlignment="1">
      <alignment vertical="center" wrapText="1"/>
    </xf>
    <xf numFmtId="0" fontId="22" fillId="0" borderId="18" xfId="0" applyFont="1" applyBorder="1" applyAlignment="1">
      <alignment horizontal="center" vertical="center" wrapText="1"/>
    </xf>
    <xf numFmtId="2" fontId="22" fillId="0" borderId="18" xfId="0" applyNumberFormat="1" applyFont="1" applyBorder="1" applyAlignment="1">
      <alignment horizontal="center" vertical="center" wrapText="1"/>
    </xf>
    <xf numFmtId="0" fontId="32" fillId="0" borderId="18" xfId="0" applyFont="1" applyBorder="1" applyAlignment="1">
      <alignment horizontal="center" vertical="center" wrapText="1"/>
    </xf>
    <xf numFmtId="4" fontId="22" fillId="0" borderId="18" xfId="0" applyNumberFormat="1" applyFont="1" applyBorder="1" applyAlignment="1">
      <alignment horizontal="center" vertical="center" wrapText="1"/>
    </xf>
    <xf numFmtId="0" fontId="21" fillId="0" borderId="27" xfId="0" applyFont="1" applyBorder="1" applyAlignment="1">
      <alignment horizontal="center" vertical="center"/>
    </xf>
    <xf numFmtId="0" fontId="20" fillId="0" borderId="13" xfId="0" applyFont="1" applyBorder="1" applyAlignment="1">
      <alignment horizontal="right" vertical="center" wrapText="1"/>
    </xf>
    <xf numFmtId="0" fontId="20" fillId="0" borderId="27" xfId="0" applyFont="1" applyBorder="1" applyAlignment="1">
      <alignment horizontal="center" vertical="center"/>
    </xf>
    <xf numFmtId="10" fontId="20" fillId="0" borderId="25" xfId="0" applyNumberFormat="1" applyFont="1" applyBorder="1" applyAlignment="1">
      <alignment horizontal="center" vertical="center" wrapText="1"/>
    </xf>
    <xf numFmtId="165" fontId="2" fillId="0" borderId="26" xfId="0" applyNumberFormat="1" applyFont="1" applyBorder="1" applyAlignment="1">
      <alignment horizontal="center" vertical="center"/>
    </xf>
    <xf numFmtId="2" fontId="32" fillId="0" borderId="10" xfId="0" applyNumberFormat="1" applyFont="1" applyBorder="1" applyAlignment="1">
      <alignment horizontal="center" vertical="center"/>
    </xf>
    <xf numFmtId="165" fontId="32" fillId="0" borderId="10" xfId="0" applyNumberFormat="1" applyFont="1" applyBorder="1" applyAlignment="1">
      <alignment horizontal="center" vertical="center" wrapText="1"/>
    </xf>
    <xf numFmtId="0" fontId="32" fillId="0" borderId="0" xfId="0" applyFont="1" applyAlignment="1">
      <alignment vertical="center"/>
    </xf>
    <xf numFmtId="165" fontId="32" fillId="0" borderId="0" xfId="0" applyNumberFormat="1" applyFont="1" applyAlignment="1">
      <alignment vertical="center"/>
    </xf>
    <xf numFmtId="166" fontId="32" fillId="0" borderId="0" xfId="0" applyNumberFormat="1" applyFont="1" applyAlignment="1">
      <alignment vertical="center"/>
    </xf>
    <xf numFmtId="10" fontId="30" fillId="0" borderId="13" xfId="33" applyNumberFormat="1" applyFont="1" applyFill="1" applyBorder="1" applyAlignment="1">
      <alignment horizontal="left" vertical="center"/>
    </xf>
    <xf numFmtId="0" fontId="20" fillId="0" borderId="10" xfId="0" applyFont="1" applyBorder="1" applyAlignment="1">
      <alignment horizontal="center"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2" fontId="34" fillId="0" borderId="14" xfId="0" applyNumberFormat="1" applyFont="1" applyBorder="1" applyAlignment="1">
      <alignment horizontal="center" vertical="center" wrapText="1"/>
    </xf>
    <xf numFmtId="2" fontId="34" fillId="0" borderId="23" xfId="0" applyNumberFormat="1" applyFont="1" applyBorder="1" applyAlignment="1">
      <alignment horizontal="center" vertical="center" wrapText="1"/>
    </xf>
    <xf numFmtId="2" fontId="34" fillId="0" borderId="17" xfId="0" applyNumberFormat="1" applyFont="1" applyBorder="1" applyAlignment="1">
      <alignment horizontal="center" vertical="center" wrapText="1"/>
    </xf>
    <xf numFmtId="2" fontId="34" fillId="0" borderId="24" xfId="0" applyNumberFormat="1" applyFont="1" applyBorder="1" applyAlignment="1">
      <alignment horizontal="center" vertical="center" wrapText="1"/>
    </xf>
    <xf numFmtId="4" fontId="42" fillId="0" borderId="11"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28" xfId="0" applyFont="1" applyBorder="1" applyAlignment="1">
      <alignment horizontal="left" vertical="center" wrapText="1"/>
    </xf>
    <xf numFmtId="0" fontId="20" fillId="0" borderId="23" xfId="0" applyFont="1" applyBorder="1" applyAlignment="1">
      <alignment horizontal="left" vertical="center" wrapText="1"/>
    </xf>
    <xf numFmtId="0" fontId="20" fillId="0" borderId="17" xfId="0" applyFont="1" applyBorder="1" applyAlignment="1">
      <alignment horizontal="left" vertical="center" wrapText="1"/>
    </xf>
    <xf numFmtId="0" fontId="20" fillId="0" borderId="22" xfId="0" applyFont="1" applyBorder="1" applyAlignment="1">
      <alignment horizontal="left" vertical="center" wrapText="1"/>
    </xf>
    <xf numFmtId="0" fontId="20" fillId="0" borderId="24"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5" xfId="0" applyFont="1" applyBorder="1" applyAlignment="1">
      <alignment horizontal="left"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34" fillId="0" borderId="10" xfId="0" applyFont="1" applyBorder="1" applyAlignment="1">
      <alignment horizontal="center" vertical="center"/>
    </xf>
    <xf numFmtId="0" fontId="23" fillId="0" borderId="25"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1"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6" xfId="0" applyFont="1" applyBorder="1" applyAlignment="1">
      <alignment horizontal="center" vertical="center" wrapText="1"/>
    </xf>
    <xf numFmtId="0" fontId="38" fillId="0" borderId="11" xfId="0" applyFont="1" applyBorder="1" applyAlignment="1">
      <alignment horizontal="left" vertical="center" wrapText="1"/>
    </xf>
    <xf numFmtId="0" fontId="38" fillId="0" borderId="15" xfId="0" applyFont="1" applyBorder="1" applyAlignment="1">
      <alignment horizontal="left" vertical="center" wrapText="1"/>
    </xf>
    <xf numFmtId="0" fontId="2" fillId="0" borderId="23" xfId="0" applyFont="1" applyBorder="1" applyAlignment="1">
      <alignment vertical="center"/>
    </xf>
    <xf numFmtId="0" fontId="20" fillId="0" borderId="18" xfId="0" applyFont="1" applyBorder="1" applyAlignment="1">
      <alignment horizontal="center" vertical="center"/>
    </xf>
    <xf numFmtId="0" fontId="20" fillId="0" borderId="18" xfId="0" applyFont="1" applyBorder="1" applyAlignment="1">
      <alignment vertical="center"/>
    </xf>
    <xf numFmtId="165" fontId="20" fillId="0" borderId="18" xfId="0" applyNumberFormat="1" applyFont="1" applyBorder="1" applyAlignment="1">
      <alignment horizontal="right" vertical="center"/>
    </xf>
    <xf numFmtId="0" fontId="20" fillId="0" borderId="18" xfId="0" applyFont="1" applyBorder="1" applyAlignment="1">
      <alignment horizontal="right" vertical="center"/>
    </xf>
    <xf numFmtId="165" fontId="20" fillId="0" borderId="23" xfId="0" applyNumberFormat="1" applyFont="1" applyBorder="1" applyAlignment="1">
      <alignment horizontal="center" vertical="center"/>
    </xf>
    <xf numFmtId="0" fontId="20" fillId="0" borderId="0" xfId="0" applyFont="1" applyBorder="1" applyAlignment="1">
      <alignment horizontal="left" vertical="center"/>
    </xf>
    <xf numFmtId="165" fontId="2" fillId="0" borderId="0" xfId="0" applyNumberFormat="1" applyFont="1" applyBorder="1" applyAlignment="1">
      <alignment horizontal="center" vertical="center"/>
    </xf>
    <xf numFmtId="165" fontId="20" fillId="0" borderId="0" xfId="0" applyNumberFormat="1" applyFont="1" applyBorder="1" applyAlignment="1">
      <alignment horizontal="center" vertical="center"/>
    </xf>
    <xf numFmtId="165" fontId="20" fillId="0" borderId="27" xfId="0" applyNumberFormat="1"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vertical="center"/>
    </xf>
    <xf numFmtId="0" fontId="2" fillId="0" borderId="0" xfId="0" applyFont="1" applyBorder="1" applyAlignment="1">
      <alignment vertical="center"/>
    </xf>
    <xf numFmtId="0" fontId="2" fillId="0" borderId="27" xfId="0" applyFont="1" applyBorder="1" applyAlignment="1">
      <alignment vertical="center"/>
    </xf>
    <xf numFmtId="0" fontId="20" fillId="0" borderId="0" xfId="0" applyFont="1" applyBorder="1" applyAlignment="1">
      <alignment horizontal="center" vertical="center"/>
    </xf>
    <xf numFmtId="0" fontId="2" fillId="0" borderId="0" xfId="0" applyFont="1" applyBorder="1" applyAlignment="1">
      <alignment horizontal="center" vertical="center"/>
    </xf>
    <xf numFmtId="0" fontId="20" fillId="0" borderId="17" xfId="0" applyFont="1" applyBorder="1" applyAlignment="1">
      <alignment vertical="center"/>
    </xf>
    <xf numFmtId="0" fontId="20" fillId="0" borderId="22" xfId="0" applyFont="1" applyBorder="1" applyAlignment="1">
      <alignment vertical="center"/>
    </xf>
    <xf numFmtId="0" fontId="2" fillId="0" borderId="24" xfId="0" applyFont="1" applyBorder="1" applyAlignment="1">
      <alignment vertical="center"/>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8" xfId="0" applyFont="1" applyBorder="1" applyAlignment="1">
      <alignment horizontal="center" vertical="center" wrapText="1"/>
    </xf>
    <xf numFmtId="0" fontId="23" fillId="0" borderId="25" xfId="0" applyFont="1" applyBorder="1" applyAlignment="1">
      <alignment horizontal="center" vertical="center"/>
    </xf>
    <xf numFmtId="2" fontId="21" fillId="0" borderId="11" xfId="0" applyNumberFormat="1" applyFont="1" applyBorder="1" applyAlignment="1">
      <alignment horizontal="center" vertical="center"/>
    </xf>
    <xf numFmtId="0" fontId="23" fillId="0" borderId="0" xfId="0" applyFont="1" applyBorder="1" applyAlignment="1">
      <alignment horizontal="center" vertical="center" wrapText="1"/>
    </xf>
  </cellXfs>
  <cellStyles count="47">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3" builtinId="29" customBuiltin="1"/>
    <cellStyle name="Ênfase2" xfId="24" builtinId="33" customBuiltin="1"/>
    <cellStyle name="Ênfase3" xfId="25" builtinId="37" customBuiltin="1"/>
    <cellStyle name="Ênfase4" xfId="26" builtinId="41" customBuiltin="1"/>
    <cellStyle name="Ênfase5" xfId="27" builtinId="45" customBuiltin="1"/>
    <cellStyle name="Ênfase6" xfId="28" builtinId="49" customBuiltin="1"/>
    <cellStyle name="Entrada" xfId="29" builtinId="20" customBuiltin="1"/>
    <cellStyle name="Neutro" xfId="31" builtinId="28" customBuiltin="1"/>
    <cellStyle name="Normal" xfId="0" builtinId="0"/>
    <cellStyle name="Normal 2 2" xfId="45" xr:uid="{00000000-0005-0000-0000-000020000000}"/>
    <cellStyle name="Nota" xfId="32" builtinId="10" customBuiltin="1"/>
    <cellStyle name="Porcentagem" xfId="33" builtinId="5"/>
    <cellStyle name="Porcentagem 2" xfId="46" xr:uid="{00000000-0005-0000-0000-000023000000}"/>
    <cellStyle name="Ruim" xfId="30" builtinId="27" customBuiltin="1"/>
    <cellStyle name="Saída" xfId="34" builtinId="21" customBuiltin="1"/>
    <cellStyle name="Separador de milhares 2" xfId="44" xr:uid="{00000000-0005-0000-0000-000025000000}"/>
    <cellStyle name="Texto de Aviso" xfId="35" builtinId="11" customBuiltin="1"/>
    <cellStyle name="Texto Explicativo" xfId="36" builtinId="53" customBuiltin="1"/>
    <cellStyle name="Título" xfId="37" builtinId="15" customBuiltin="1"/>
    <cellStyle name="Título 1" xfId="38" builtinId="16" customBuiltin="1"/>
    <cellStyle name="Título 2" xfId="39" builtinId="17" customBuiltin="1"/>
    <cellStyle name="Título 3" xfId="40" builtinId="18" customBuiltin="1"/>
    <cellStyle name="Título 4" xfId="41" builtinId="19" customBuiltin="1"/>
    <cellStyle name="Total" xfId="42" builtinId="25" customBuiltin="1"/>
    <cellStyle name="Vírgula 4" xfId="43" xr:uid="{00000000-0005-0000-0000-00002E000000}"/>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8</xdr:col>
      <xdr:colOff>262467</xdr:colOff>
      <xdr:row>0</xdr:row>
      <xdr:rowOff>101602</xdr:rowOff>
    </xdr:from>
    <xdr:to>
      <xdr:col>9</xdr:col>
      <xdr:colOff>294004</xdr:colOff>
      <xdr:row>0</xdr:row>
      <xdr:rowOff>785201</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949267" y="101602"/>
          <a:ext cx="815762" cy="683599"/>
        </a:xfrm>
        <a:prstGeom prst="rect">
          <a:avLst/>
        </a:prstGeom>
      </xdr:spPr>
    </xdr:pic>
    <xdr:clientData/>
  </xdr:twoCellAnchor>
  <xdr:twoCellAnchor editAs="oneCell">
    <xdr:from>
      <xdr:col>4</xdr:col>
      <xdr:colOff>1578565</xdr:colOff>
      <xdr:row>0</xdr:row>
      <xdr:rowOff>118534</xdr:rowOff>
    </xdr:from>
    <xdr:to>
      <xdr:col>4</xdr:col>
      <xdr:colOff>5212807</xdr:colOff>
      <xdr:row>0</xdr:row>
      <xdr:rowOff>829735</xdr:rowOff>
    </xdr:to>
    <xdr:pic>
      <xdr:nvPicPr>
        <xdr:cNvPr id="7" name="Picture 295">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6458" t="31482" r="35469" b="61481"/>
        <a:stretch>
          <a:fillRect/>
        </a:stretch>
      </xdr:blipFill>
      <xdr:spPr bwMode="auto">
        <a:xfrm>
          <a:off x="3902665" y="118534"/>
          <a:ext cx="3634242" cy="711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528319</xdr:colOff>
      <xdr:row>0</xdr:row>
      <xdr:rowOff>103293</xdr:rowOff>
    </xdr:from>
    <xdr:to>
      <xdr:col>4</xdr:col>
      <xdr:colOff>397932</xdr:colOff>
      <xdr:row>0</xdr:row>
      <xdr:rowOff>746096</xdr:rowOff>
    </xdr:to>
    <xdr:pic>
      <xdr:nvPicPr>
        <xdr:cNvPr id="4" name="Image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627879" y="103293"/>
          <a:ext cx="738293" cy="642803"/>
        </a:xfrm>
        <a:prstGeom prst="rect">
          <a:avLst/>
        </a:prstGeom>
      </xdr:spPr>
    </xdr:pic>
    <xdr:clientData/>
  </xdr:twoCellAnchor>
  <xdr:twoCellAnchor editAs="oneCell">
    <xdr:from>
      <xdr:col>1</xdr:col>
      <xdr:colOff>144397</xdr:colOff>
      <xdr:row>0</xdr:row>
      <xdr:rowOff>125730</xdr:rowOff>
    </xdr:from>
    <xdr:to>
      <xdr:col>2</xdr:col>
      <xdr:colOff>535238</xdr:colOff>
      <xdr:row>0</xdr:row>
      <xdr:rowOff>694897</xdr:rowOff>
    </xdr:to>
    <xdr:pic>
      <xdr:nvPicPr>
        <xdr:cNvPr id="5" name="Picture 295">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6458" t="31482" r="35469" b="61481"/>
        <a:stretch>
          <a:fillRect/>
        </a:stretch>
      </xdr:blipFill>
      <xdr:spPr bwMode="auto">
        <a:xfrm>
          <a:off x="563497" y="125730"/>
          <a:ext cx="2905441" cy="56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561975</xdr:colOff>
      <xdr:row>2</xdr:row>
      <xdr:rowOff>8467</xdr:rowOff>
    </xdr:from>
    <xdr:to>
      <xdr:col>3</xdr:col>
      <xdr:colOff>279738</xdr:colOff>
      <xdr:row>10</xdr:row>
      <xdr:rowOff>48971</xdr:rowOff>
    </xdr:to>
    <xdr:pic>
      <xdr:nvPicPr>
        <xdr:cNvPr id="2" name="Imagem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906308" y="330200"/>
          <a:ext cx="1013163" cy="1369770"/>
        </a:xfrm>
        <a:prstGeom prst="rect">
          <a:avLst/>
        </a:prstGeom>
      </xdr:spPr>
    </xdr:pic>
    <xdr:clientData/>
  </xdr:twoCellAnchor>
  <xdr:twoCellAnchor editAs="oneCell">
    <xdr:from>
      <xdr:col>0</xdr:col>
      <xdr:colOff>776817</xdr:colOff>
      <xdr:row>2</xdr:row>
      <xdr:rowOff>105835</xdr:rowOff>
    </xdr:from>
    <xdr:to>
      <xdr:col>0</xdr:col>
      <xdr:colOff>2735792</xdr:colOff>
      <xdr:row>11</xdr:row>
      <xdr:rowOff>54438</xdr:rowOff>
    </xdr:to>
    <xdr:pic>
      <xdr:nvPicPr>
        <xdr:cNvPr id="3" name="Imagem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776817" y="427568"/>
          <a:ext cx="1958975" cy="1438736"/>
        </a:xfrm>
        <a:prstGeom prst="rect">
          <a:avLst/>
        </a:prstGeom>
      </xdr:spPr>
    </xdr:pic>
    <xdr:clientData/>
  </xdr:twoCellAnchor>
  <xdr:twoCellAnchor editAs="oneCell">
    <xdr:from>
      <xdr:col>11</xdr:col>
      <xdr:colOff>18774</xdr:colOff>
      <xdr:row>36</xdr:row>
      <xdr:rowOff>23549</xdr:rowOff>
    </xdr:from>
    <xdr:to>
      <xdr:col>16</xdr:col>
      <xdr:colOff>145467</xdr:colOff>
      <xdr:row>52</xdr:row>
      <xdr:rowOff>59837</xdr:rowOff>
    </xdr:to>
    <xdr:pic>
      <xdr:nvPicPr>
        <xdr:cNvPr id="5" name="Imagem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3"/>
        <a:stretch>
          <a:fillRect/>
        </a:stretch>
      </xdr:blipFill>
      <xdr:spPr>
        <a:xfrm>
          <a:off x="8383841" y="5806282"/>
          <a:ext cx="4427759" cy="2720222"/>
        </a:xfrm>
        <a:prstGeom prst="rect">
          <a:avLst/>
        </a:prstGeom>
      </xdr:spPr>
    </xdr:pic>
    <xdr:clientData/>
  </xdr:twoCellAnchor>
  <xdr:twoCellAnchor editAs="oneCell">
    <xdr:from>
      <xdr:col>0</xdr:col>
      <xdr:colOff>557697</xdr:colOff>
      <xdr:row>35</xdr:row>
      <xdr:rowOff>126999</xdr:rowOff>
    </xdr:from>
    <xdr:to>
      <xdr:col>1</xdr:col>
      <xdr:colOff>652515</xdr:colOff>
      <xdr:row>50</xdr:row>
      <xdr:rowOff>57979</xdr:rowOff>
    </xdr:to>
    <xdr:pic>
      <xdr:nvPicPr>
        <xdr:cNvPr id="7" name="Imagem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4"/>
        <a:stretch>
          <a:fillRect/>
        </a:stretch>
      </xdr:blipFill>
      <xdr:spPr>
        <a:xfrm>
          <a:off x="557697" y="5720521"/>
          <a:ext cx="3435470" cy="2437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uario\Google%20Drive\DFT%20Projetos\PROJETOS\SERRANIA\PROJETOS\PRA&#199;A\PROJETO%20PRACA%20SETE%20ORELHAS\PLANILHA%20M+&#220;LTIPLA%202.3%20-%20RAND%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sheetName val="Novo!"/>
      <sheetName val="Dados"/>
      <sheetName val="BDI"/>
      <sheetName val="Orçamento"/>
      <sheetName val="Memória"/>
      <sheetName val="Comp"/>
      <sheetName val="Cot"/>
      <sheetName val="CronoFF"/>
      <sheetName val="QCI"/>
      <sheetName val="Memorial Descritivo"/>
      <sheetName val="Licitação"/>
      <sheetName val="CronoFF-L"/>
      <sheetName val="QCI-L"/>
      <sheetName val="BM"/>
      <sheetName val="RRE"/>
      <sheetName val="OFÍCIO"/>
      <sheetName val="CC"/>
    </sheetNames>
    <sheetDataSet>
      <sheetData sheetId="0" refreshError="1"/>
      <sheetData sheetId="1" refreshError="1"/>
      <sheetData sheetId="2" refreshError="1">
        <row r="29">
          <cell r="G29">
            <v>43009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2"/>
  <sheetViews>
    <sheetView showGridLines="0" tabSelected="1" view="pageBreakPreview" zoomScale="115" zoomScaleNormal="75" zoomScaleSheetLayoutView="115" zoomScalePageLayoutView="75" workbookViewId="0">
      <pane ySplit="10" topLeftCell="A90" activePane="bottomLeft" state="frozen"/>
      <selection pane="bottomLeft" activeCell="E92" sqref="E92"/>
    </sheetView>
  </sheetViews>
  <sheetFormatPr defaultColWidth="9.109375" defaultRowHeight="13.2" x14ac:dyDescent="0.25"/>
  <cols>
    <col min="1" max="1" width="9.109375" style="10"/>
    <col min="2" max="2" width="5.5546875" style="2" customWidth="1"/>
    <col min="3" max="3" width="8.33203125" style="3" customWidth="1"/>
    <col min="4" max="4" width="10.88671875" style="3" customWidth="1"/>
    <col min="5" max="5" width="79.77734375" style="11" customWidth="1"/>
    <col min="6" max="6" width="8.6640625" style="3" customWidth="1"/>
    <col min="7" max="7" width="9.44140625" style="73" customWidth="1"/>
    <col min="8" max="8" width="11" style="4" customWidth="1"/>
    <col min="9" max="9" width="11.33203125" style="4" customWidth="1"/>
    <col min="10" max="10" width="11" style="4" bestFit="1" customWidth="1"/>
    <col min="11" max="11" width="12.21875" style="10" bestFit="1" customWidth="1"/>
    <col min="12" max="12" width="12.88671875" style="77" bestFit="1" customWidth="1"/>
    <col min="13" max="13" width="10.5546875" style="10" bestFit="1" customWidth="1"/>
    <col min="14" max="15" width="9.109375" style="10"/>
    <col min="16" max="16" width="9.109375" style="80"/>
    <col min="17" max="16384" width="9.109375" style="10"/>
  </cols>
  <sheetData>
    <row r="1" spans="2:16" ht="68.099999999999994" customHeight="1" x14ac:dyDescent="0.25">
      <c r="B1" s="6"/>
      <c r="C1" s="7"/>
      <c r="D1" s="7"/>
      <c r="E1" s="64"/>
      <c r="F1" s="7"/>
      <c r="G1" s="68"/>
      <c r="H1" s="90"/>
      <c r="I1" s="90"/>
      <c r="J1" s="61"/>
    </row>
    <row r="2" spans="2:16" s="58" customFormat="1" ht="5.0999999999999996" customHeight="1" x14ac:dyDescent="0.25">
      <c r="B2" s="56"/>
      <c r="C2" s="57"/>
      <c r="D2" s="57"/>
      <c r="E2" s="65"/>
      <c r="F2" s="57"/>
      <c r="G2" s="69"/>
      <c r="H2" s="103"/>
      <c r="I2" s="103"/>
      <c r="J2" s="62"/>
      <c r="L2" s="77"/>
      <c r="P2" s="81"/>
    </row>
    <row r="3" spans="2:16" s="58" customFormat="1" x14ac:dyDescent="0.25">
      <c r="B3" s="231" t="s">
        <v>30</v>
      </c>
      <c r="C3" s="231"/>
      <c r="D3" s="231"/>
      <c r="E3" s="231"/>
      <c r="F3" s="231"/>
      <c r="G3" s="231"/>
      <c r="H3" s="231"/>
      <c r="I3" s="231"/>
      <c r="J3" s="231"/>
      <c r="L3" s="77"/>
      <c r="P3" s="81"/>
    </row>
    <row r="4" spans="2:16" s="58" customFormat="1" ht="5.0999999999999996" customHeight="1" x14ac:dyDescent="0.25">
      <c r="B4" s="108"/>
      <c r="C4" s="59"/>
      <c r="D4" s="59"/>
      <c r="E4" s="66"/>
      <c r="F4" s="59"/>
      <c r="G4" s="70"/>
      <c r="H4" s="59"/>
      <c r="I4" s="59"/>
      <c r="J4" s="111"/>
      <c r="L4" s="77"/>
      <c r="P4" s="81"/>
    </row>
    <row r="5" spans="2:16" s="58" customFormat="1" ht="15.6" x14ac:dyDescent="0.25">
      <c r="B5" s="12" t="str">
        <f>'MM CALC'!A3</f>
        <v>PREFEITURA MUNICIPAL DE SENHORA DOS REMÉDIOS</v>
      </c>
      <c r="C5" s="60"/>
      <c r="D5" s="60"/>
      <c r="E5" s="67"/>
      <c r="F5" s="23" t="str">
        <f>'MM CALC'!E3</f>
        <v>DATA: 28/08/2024</v>
      </c>
      <c r="G5" s="70"/>
      <c r="H5" s="104"/>
      <c r="I5" s="104"/>
      <c r="J5" s="191"/>
      <c r="L5" s="77"/>
      <c r="P5" s="81"/>
    </row>
    <row r="6" spans="2:16" s="58" customFormat="1" ht="15.6" x14ac:dyDescent="0.25">
      <c r="B6" s="12" t="str">
        <f>'MM CALC'!A4</f>
        <v xml:space="preserve">OBRA: CONSTRUÇÃO DE 2 BANHEIROS ADAPTADOS </v>
      </c>
      <c r="C6" s="1"/>
      <c r="D6" s="1"/>
      <c r="E6" s="148"/>
      <c r="F6" s="192"/>
      <c r="G6" s="132"/>
      <c r="H6" s="132"/>
      <c r="I6" s="132"/>
      <c r="J6" s="193"/>
      <c r="L6" s="77"/>
      <c r="P6" s="81"/>
    </row>
    <row r="7" spans="2:16" s="58" customFormat="1" ht="27" customHeight="1" x14ac:dyDescent="0.25">
      <c r="B7" s="23" t="str">
        <f>'MM CALC'!A5</f>
        <v>LOCAL: QUADRA DOS CAEIROS, COMUNIDADE DOS CAEIROS - ZONA RURAL SENHORA DOS REMÉDIOS/MG</v>
      </c>
      <c r="C7" s="1"/>
      <c r="D7" s="1"/>
      <c r="E7" s="149"/>
      <c r="F7" s="232" t="s">
        <v>56</v>
      </c>
      <c r="G7" s="233"/>
      <c r="H7" s="234" t="s">
        <v>311</v>
      </c>
      <c r="I7" s="235"/>
      <c r="J7" s="238" t="s">
        <v>52</v>
      </c>
      <c r="L7" s="77"/>
      <c r="P7" s="81"/>
    </row>
    <row r="8" spans="2:16" s="58" customFormat="1" ht="27" customHeight="1" x14ac:dyDescent="0.25">
      <c r="B8" s="241" t="s">
        <v>404</v>
      </c>
      <c r="C8" s="242"/>
      <c r="D8" s="242"/>
      <c r="E8" s="243"/>
      <c r="F8" s="75" t="s">
        <v>5</v>
      </c>
      <c r="G8" s="190" t="s">
        <v>3</v>
      </c>
      <c r="H8" s="236"/>
      <c r="I8" s="237"/>
      <c r="J8" s="239"/>
      <c r="L8" s="77"/>
      <c r="P8" s="81"/>
    </row>
    <row r="9" spans="2:16" s="58" customFormat="1" ht="27" customHeight="1" x14ac:dyDescent="0.25">
      <c r="B9" s="244"/>
      <c r="C9" s="245"/>
      <c r="D9" s="245"/>
      <c r="E9" s="246"/>
      <c r="F9" s="75" t="s">
        <v>14</v>
      </c>
      <c r="G9" s="76" t="s">
        <v>4</v>
      </c>
      <c r="H9" s="221" t="s">
        <v>20</v>
      </c>
      <c r="I9" s="230">
        <v>0.28489999999999999</v>
      </c>
      <c r="J9" s="240"/>
      <c r="L9" s="77"/>
      <c r="P9" s="81"/>
    </row>
    <row r="10" spans="2:16" ht="5.0999999999999996" customHeight="1" x14ac:dyDescent="0.25">
      <c r="B10" s="8" t="s">
        <v>22</v>
      </c>
      <c r="C10" s="1"/>
      <c r="D10" s="1"/>
      <c r="E10" s="148"/>
      <c r="F10" s="1"/>
      <c r="G10" s="71"/>
      <c r="H10" s="9"/>
      <c r="I10" s="9"/>
      <c r="J10" s="15"/>
    </row>
    <row r="11" spans="2:16" s="3" customFormat="1" ht="26.4" x14ac:dyDescent="0.25">
      <c r="B11" s="85" t="s">
        <v>0</v>
      </c>
      <c r="C11" s="86" t="s">
        <v>9</v>
      </c>
      <c r="D11" s="86" t="s">
        <v>2</v>
      </c>
      <c r="E11" s="106" t="s">
        <v>1</v>
      </c>
      <c r="F11" s="86" t="s">
        <v>6</v>
      </c>
      <c r="G11" s="84" t="s">
        <v>7</v>
      </c>
      <c r="H11" s="5" t="s">
        <v>15</v>
      </c>
      <c r="I11" s="5" t="s">
        <v>16</v>
      </c>
      <c r="J11" s="5" t="s">
        <v>8</v>
      </c>
      <c r="L11" s="87"/>
      <c r="P11" s="88"/>
    </row>
    <row r="12" spans="2:16" s="32" customFormat="1" ht="5.0999999999999996" customHeight="1" x14ac:dyDescent="0.25">
      <c r="B12" s="30" t="str">
        <f>'MM CALC'!A8</f>
        <v>-</v>
      </c>
      <c r="C12" s="30" t="str">
        <f>'MM CALC'!B8</f>
        <v>-</v>
      </c>
      <c r="D12" s="30" t="str">
        <f>'MM CALC'!C8</f>
        <v>-</v>
      </c>
      <c r="E12" s="46" t="str">
        <f>'MM CALC'!D8</f>
        <v>-</v>
      </c>
      <c r="F12" s="30" t="str">
        <f>'MM CALC'!E8</f>
        <v>-</v>
      </c>
      <c r="G12" s="72" t="str">
        <f>'MM CALC'!F8</f>
        <v>-</v>
      </c>
      <c r="H12" s="31"/>
      <c r="I12" s="31"/>
      <c r="J12" s="31"/>
      <c r="L12" s="78"/>
      <c r="P12" s="82"/>
    </row>
    <row r="13" spans="2:16" s="35" customFormat="1" ht="10.199999999999999" x14ac:dyDescent="0.25">
      <c r="B13" s="53">
        <f>'MM CALC'!A9</f>
        <v>1</v>
      </c>
      <c r="C13" s="53"/>
      <c r="D13" s="43"/>
      <c r="E13" s="47" t="str">
        <f>'MM CALC'!D9</f>
        <v xml:space="preserve">SERVIÇOS PRELIMINARES </v>
      </c>
      <c r="F13" s="43"/>
      <c r="G13" s="33"/>
      <c r="H13" s="34"/>
      <c r="I13" s="34"/>
      <c r="J13" s="196">
        <f>SUM(J14:J14)</f>
        <v>1756.13</v>
      </c>
      <c r="L13" s="79"/>
      <c r="P13" s="83"/>
    </row>
    <row r="14" spans="2:16" s="32" customFormat="1" ht="55.05" customHeight="1" x14ac:dyDescent="0.25">
      <c r="B14" s="30" t="str">
        <f>'MM CALC'!A10</f>
        <v>1.1</v>
      </c>
      <c r="C14" s="30" t="str">
        <f>'MM CALC'!B10</f>
        <v>SEINFRA</v>
      </c>
      <c r="D14" s="30" t="str">
        <f>'MM CALC'!C10</f>
        <v xml:space="preserve">ED-16660 </v>
      </c>
      <c r="E14" s="46" t="str">
        <f>'MM CALC'!D10</f>
        <v>FORNECIMENTO E COLOCAÇÃO DE PLACA DE OBRA EM CHAPA GALVANIZADA #26, ESP. 0,45 MM, PLOTADA COM ADESIVO VINÍLICO, AFIXADA COM REBITES 4,8X40 MM, EM ESTRUTURA  METÁLICA DE METALON 20X20 MM, ESP. 1,25 MM, INCLUSIVE SUPORTE EM EUCALIPTO AUTOCLAVADO PINTADO COM TINTA
PVA DUAS (2) DEMÃOS</v>
      </c>
      <c r="F14" s="30" t="str">
        <f>'MM CALC'!E10</f>
        <v>m2</v>
      </c>
      <c r="G14" s="72">
        <f>'MM CALC'!F10</f>
        <v>4.5</v>
      </c>
      <c r="H14" s="31">
        <v>303.72000000000003</v>
      </c>
      <c r="I14" s="31">
        <f>ROUND((H14*(1+$I$9)),2)</f>
        <v>390.25</v>
      </c>
      <c r="J14" s="31">
        <f>ROUND((G14*I14),2)</f>
        <v>1756.13</v>
      </c>
      <c r="L14" s="78"/>
      <c r="P14" s="82"/>
    </row>
    <row r="15" spans="2:16" s="35" customFormat="1" ht="10.199999999999999" x14ac:dyDescent="0.25">
      <c r="B15" s="53">
        <f>'MM CALC'!A11</f>
        <v>2</v>
      </c>
      <c r="C15" s="53"/>
      <c r="D15" s="53"/>
      <c r="E15" s="47" t="str">
        <f>'MM CALC'!D11</f>
        <v>TRABALHOS EM TERRA</v>
      </c>
      <c r="F15" s="53"/>
      <c r="G15" s="89"/>
      <c r="H15" s="34"/>
      <c r="I15" s="34"/>
      <c r="J15" s="196">
        <f>SUM(J16:J18)</f>
        <v>437.5</v>
      </c>
      <c r="L15" s="79"/>
      <c r="P15" s="83"/>
    </row>
    <row r="16" spans="2:16" s="32" customFormat="1" ht="25.05" customHeight="1" x14ac:dyDescent="0.25">
      <c r="B16" s="30" t="s">
        <v>12</v>
      </c>
      <c r="C16" s="30" t="str">
        <f>'MM CALC'!B12</f>
        <v>SEINFRA</v>
      </c>
      <c r="D16" s="30" t="str">
        <f>'MM CALC'!C12</f>
        <v xml:space="preserve">ED-51107 </v>
      </c>
      <c r="E16" s="46" t="str">
        <f>'MM CALC'!D12</f>
        <v>ESCAVAÇÃO MANUAL DE VALA COM PROFUNDIDADE MENOR OU IGUAL A 1,5M, INCLUSIVE DESCARGA LATERAL</v>
      </c>
      <c r="F16" s="30" t="str">
        <f>'MM CALC'!E12</f>
        <v>m3</v>
      </c>
      <c r="G16" s="72">
        <f>'MM CALC'!F12</f>
        <v>2.5175000000000001</v>
      </c>
      <c r="H16" s="31">
        <v>63.2</v>
      </c>
      <c r="I16" s="31">
        <f t="shared" ref="I16:I18" si="0">ROUND((H16*(1+$I$9)),2)</f>
        <v>81.209999999999994</v>
      </c>
      <c r="J16" s="31">
        <f t="shared" ref="J16:J18" si="1">ROUND((G16*I16),2)</f>
        <v>204.45</v>
      </c>
      <c r="L16" s="78"/>
      <c r="P16" s="82"/>
    </row>
    <row r="17" spans="2:16" s="32" customFormat="1" ht="25.05" customHeight="1" x14ac:dyDescent="0.25">
      <c r="B17" s="30" t="s">
        <v>316</v>
      </c>
      <c r="C17" s="30" t="str">
        <f>'MM CALC'!B13</f>
        <v>SEINFRA</v>
      </c>
      <c r="D17" s="30" t="str">
        <f>'MM CALC'!C13</f>
        <v>ED-51093</v>
      </c>
      <c r="E17" s="46" t="str">
        <f>'MM CALC'!D13</f>
        <v>APILOAMENTO DO FUNDO DE VALAS COM SOQUETE</v>
      </c>
      <c r="F17" s="30" t="str">
        <f>'MM CALC'!E13</f>
        <v>m2</v>
      </c>
      <c r="G17" s="72">
        <f>'MM CALC'!F13</f>
        <v>6.05</v>
      </c>
      <c r="H17" s="31">
        <v>21.31</v>
      </c>
      <c r="I17" s="31">
        <f t="shared" si="0"/>
        <v>27.38</v>
      </c>
      <c r="J17" s="31">
        <f t="shared" si="1"/>
        <v>165.65</v>
      </c>
      <c r="L17" s="78"/>
      <c r="P17" s="82"/>
    </row>
    <row r="18" spans="2:16" s="32" customFormat="1" ht="25.05" customHeight="1" x14ac:dyDescent="0.25">
      <c r="B18" s="30" t="s">
        <v>317</v>
      </c>
      <c r="C18" s="30" t="str">
        <f>'MM CALC'!B14</f>
        <v>SEINFRA</v>
      </c>
      <c r="D18" s="30" t="str">
        <f>'MM CALC'!C14</f>
        <v xml:space="preserve">ED-51097 </v>
      </c>
      <c r="E18" s="46" t="str">
        <f>'MM CALC'!D14</f>
        <v>COMPACTAÇÃO MANUAL DE ATERRO COM SOQUETE, INCLUSIVE ESPALHAMENTO MANUAL</v>
      </c>
      <c r="F18" s="30" t="str">
        <f>'MM CALC'!E14</f>
        <v>m3</v>
      </c>
      <c r="G18" s="72">
        <f>'MM CALC'!F14</f>
        <v>0.83000000000000029</v>
      </c>
      <c r="H18" s="31">
        <v>63.2</v>
      </c>
      <c r="I18" s="31">
        <f t="shared" si="0"/>
        <v>81.209999999999994</v>
      </c>
      <c r="J18" s="31">
        <f t="shared" si="1"/>
        <v>67.400000000000006</v>
      </c>
      <c r="L18" s="78"/>
      <c r="P18" s="82"/>
    </row>
    <row r="19" spans="2:16" s="35" customFormat="1" ht="10.199999999999999" x14ac:dyDescent="0.25">
      <c r="B19" s="53">
        <v>3</v>
      </c>
      <c r="C19" s="53"/>
      <c r="D19" s="53"/>
      <c r="E19" s="47" t="str">
        <f>'MM CALC'!D15</f>
        <v>ESTRUTURAS DE CONCRETO ARMADO</v>
      </c>
      <c r="F19" s="53"/>
      <c r="G19" s="89"/>
      <c r="H19" s="34"/>
      <c r="I19" s="34"/>
      <c r="J19" s="196">
        <f>SUM(J21:J25)</f>
        <v>5437</v>
      </c>
      <c r="L19" s="79"/>
      <c r="P19" s="83"/>
    </row>
    <row r="20" spans="2:16" s="32" customFormat="1" ht="25.05" customHeight="1" x14ac:dyDescent="0.25">
      <c r="B20" s="30" t="s">
        <v>13</v>
      </c>
      <c r="C20" s="30" t="str">
        <f>'MM CALC'!B16</f>
        <v>SEINFRA</v>
      </c>
      <c r="D20" s="30" t="str">
        <f>'MM CALC'!C16</f>
        <v>ED-49812</v>
      </c>
      <c r="E20" s="46" t="str">
        <f>'MM CALC'!D16</f>
        <v>LASTRO DE CONCRETO MAGRO, INCLUSIVE TRANSPORTE, LANÇAMENTO E ADENSAMENTO</v>
      </c>
      <c r="F20" s="30" t="str">
        <f>'MM CALC'!E16</f>
        <v>m3</v>
      </c>
      <c r="G20" s="72">
        <f>'MM CALC'!F16</f>
        <v>0.30249999999999999</v>
      </c>
      <c r="H20" s="31">
        <v>535.82000000000005</v>
      </c>
      <c r="I20" s="31">
        <f t="shared" ref="I20:I25" si="2">ROUND((H20*(1+$I$9)),2)</f>
        <v>688.48</v>
      </c>
      <c r="J20" s="31">
        <f t="shared" ref="J20:J25" si="3">ROUND((G20*I20),2)</f>
        <v>208.27</v>
      </c>
      <c r="L20" s="78"/>
      <c r="P20" s="82"/>
    </row>
    <row r="21" spans="2:16" s="227" customFormat="1" ht="25.2" customHeight="1" x14ac:dyDescent="0.25">
      <c r="B21" s="208" t="s">
        <v>194</v>
      </c>
      <c r="C21" s="208" t="str">
        <f>'MM CALC'!B17</f>
        <v>SEINFRA</v>
      </c>
      <c r="D21" s="208" t="str">
        <f>'MM CALC'!C17</f>
        <v>ED-49810</v>
      </c>
      <c r="E21" s="141" t="str">
        <f>'MM CALC'!D17</f>
        <v>FÔRMA E DESFORMA PARA VIGA-CINTA/BLOCO COM TÁBUA E SARRAFO, REAPROVEITAMENTO (3X) (FUNDAÇÃO)</v>
      </c>
      <c r="F21" s="208" t="str">
        <f>'MM CALC'!E17</f>
        <v>m2</v>
      </c>
      <c r="G21" s="225">
        <f>'MM CALC'!F17</f>
        <v>10.52</v>
      </c>
      <c r="H21" s="226">
        <v>55.77</v>
      </c>
      <c r="I21" s="226">
        <f t="shared" si="2"/>
        <v>71.66</v>
      </c>
      <c r="J21" s="226">
        <f t="shared" si="3"/>
        <v>753.86</v>
      </c>
      <c r="L21" s="228"/>
      <c r="P21" s="229"/>
    </row>
    <row r="22" spans="2:16" s="227" customFormat="1" ht="25.2" customHeight="1" x14ac:dyDescent="0.25">
      <c r="B22" s="208" t="s">
        <v>195</v>
      </c>
      <c r="C22" s="208" t="str">
        <f>'MM CALC'!B18</f>
        <v>SEINFRA</v>
      </c>
      <c r="D22" s="208" t="str">
        <f>'MM CALC'!C18</f>
        <v>ED-49645</v>
      </c>
      <c r="E22" s="141" t="str">
        <f>'MM CALC'!D18</f>
        <v>FÔRMA E DESFORMA DE COMPENSADO RESINADO, ESP. 12MM, REAPROVEITAMENTO (3X), EXCLUSIVE ESCORAMENTO</v>
      </c>
      <c r="F22" s="208" t="str">
        <f>'MM CALC'!E18</f>
        <v>m2</v>
      </c>
      <c r="G22" s="225">
        <f>'MM CALC'!F18</f>
        <v>14.284999999999998</v>
      </c>
      <c r="H22" s="226">
        <v>56.36</v>
      </c>
      <c r="I22" s="226">
        <f t="shared" si="2"/>
        <v>72.42</v>
      </c>
      <c r="J22" s="226">
        <f t="shared" si="3"/>
        <v>1034.52</v>
      </c>
      <c r="L22" s="228"/>
      <c r="P22" s="229"/>
    </row>
    <row r="23" spans="2:16" s="227" customFormat="1" ht="25.2" customHeight="1" x14ac:dyDescent="0.25">
      <c r="B23" s="208" t="s">
        <v>196</v>
      </c>
      <c r="C23" s="208" t="str">
        <f>'MM CALC'!B19</f>
        <v>SEINFRA</v>
      </c>
      <c r="D23" s="208" t="str">
        <f>'MM CALC'!C19</f>
        <v>ED-49618</v>
      </c>
      <c r="E23" s="141" t="str">
        <f>'MM CALC'!D19</f>
        <v>FORNECIMENTO DE CONCRETO ESTRUTURAL, PREPARADO EM OBRA, COM FCK 20MPA, INCLUSIVE LANÇAMENTO, ADENSAMENTO E ACABAMENTO</v>
      </c>
      <c r="F23" s="208" t="str">
        <f>'MM CALC'!E19</f>
        <v>m3</v>
      </c>
      <c r="G23" s="225">
        <f>'MM CALC'!F19</f>
        <v>2.2405000000000004</v>
      </c>
      <c r="H23" s="226">
        <v>715.69</v>
      </c>
      <c r="I23" s="226">
        <f t="shared" si="2"/>
        <v>919.59</v>
      </c>
      <c r="J23" s="226">
        <f t="shared" si="3"/>
        <v>2060.34</v>
      </c>
      <c r="L23" s="228"/>
      <c r="P23" s="229"/>
    </row>
    <row r="24" spans="2:16" s="32" customFormat="1" ht="25.05" customHeight="1" x14ac:dyDescent="0.25">
      <c r="B24" s="30" t="s">
        <v>197</v>
      </c>
      <c r="C24" s="30" t="str">
        <f>'MM CALC'!B20</f>
        <v>SEINFRA</v>
      </c>
      <c r="D24" s="30" t="str">
        <f>'MM CALC'!C20</f>
        <v>ED-48297</v>
      </c>
      <c r="E24" s="46" t="str">
        <f>'MM CALC'!D20</f>
        <v>CORTE, DOBRA E MONTAGEM DE AÇO CA-60, DIÂMETRO (4,2MM A 5,0MM), INCLUSIVE ESPAÇADOR</v>
      </c>
      <c r="F24" s="30" t="str">
        <f>'MM CALC'!E20</f>
        <v>kg</v>
      </c>
      <c r="G24" s="72">
        <f>'MM CALC'!F20</f>
        <v>14.819640000000001</v>
      </c>
      <c r="H24" s="31">
        <v>11.31</v>
      </c>
      <c r="I24" s="31">
        <f t="shared" si="2"/>
        <v>14.53</v>
      </c>
      <c r="J24" s="31">
        <f t="shared" si="3"/>
        <v>215.33</v>
      </c>
      <c r="L24" s="78"/>
      <c r="P24" s="82"/>
    </row>
    <row r="25" spans="2:16" s="32" customFormat="1" ht="25.05" customHeight="1" x14ac:dyDescent="0.25">
      <c r="B25" s="30" t="s">
        <v>198</v>
      </c>
      <c r="C25" s="30" t="str">
        <f>'MM CALC'!B21</f>
        <v>SEINFRA</v>
      </c>
      <c r="D25" s="30" t="str">
        <f>'MM CALC'!C21</f>
        <v>ED-48295</v>
      </c>
      <c r="E25" s="46" t="str">
        <f>'MM CALC'!D21</f>
        <v>CORTE, DOBRA E MONTAGEM DE AÇO CA-50, DIÂMETRO (6,3MM A 12,5MM), INCLUSIVE ESPAÇADOR</v>
      </c>
      <c r="F25" s="30" t="str">
        <f>'MM CALC'!E21</f>
        <v>kg</v>
      </c>
      <c r="G25" s="72">
        <f>'MM CALC'!F21</f>
        <v>93.909120000000001</v>
      </c>
      <c r="H25" s="31">
        <v>11.38</v>
      </c>
      <c r="I25" s="31">
        <f t="shared" si="2"/>
        <v>14.62</v>
      </c>
      <c r="J25" s="31">
        <f t="shared" si="3"/>
        <v>1372.95</v>
      </c>
      <c r="L25" s="78"/>
      <c r="P25" s="82"/>
    </row>
    <row r="26" spans="2:16" s="35" customFormat="1" ht="10.199999999999999" x14ac:dyDescent="0.25">
      <c r="B26" s="53">
        <v>4</v>
      </c>
      <c r="C26" s="53"/>
      <c r="D26" s="53"/>
      <c r="E26" s="47" t="str">
        <f>'MM CALC'!D22</f>
        <v>LAJE PRÉ MOLDADA</v>
      </c>
      <c r="F26" s="53"/>
      <c r="G26" s="89"/>
      <c r="H26" s="124"/>
      <c r="I26" s="31"/>
      <c r="J26" s="196">
        <f>SUM(J27:J29)</f>
        <v>1533.51</v>
      </c>
      <c r="L26" s="79"/>
      <c r="P26" s="83"/>
    </row>
    <row r="27" spans="2:16" s="32" customFormat="1" ht="40.049999999999997" customHeight="1" x14ac:dyDescent="0.25">
      <c r="B27" s="30" t="s">
        <v>34</v>
      </c>
      <c r="C27" s="30" t="str">
        <f>'MM CALC'!B23</f>
        <v>SEINFRA</v>
      </c>
      <c r="D27" s="30" t="str">
        <f>'MM CALC'!C23</f>
        <v xml:space="preserve">ED-50242 </v>
      </c>
      <c r="E27" s="46" t="str">
        <f>'MM CALC'!D23</f>
        <v>LAJE PRÉ-MOLDADA UNIDIRECIONAL COM LAJOTA CERÂMICA, CAPEAMENTO DE 4CM, SOBRECARGA DE 100KG/M2, ALTURA TOTAL DE 11CM E VÃO LIVRE MÁXIMO DE 3M, INCLUSIVE CONCRETO ESTRUTURAL, USINADO BOMBEADO COM FCK DE 20MPA, EXCLUSIVE TELA ARMADA E CIMBRAMENTO</v>
      </c>
      <c r="F27" s="30" t="str">
        <f>'MM CALC'!E23</f>
        <v>m2</v>
      </c>
      <c r="G27" s="72">
        <f>'MM CALC'!F23</f>
        <v>7.3</v>
      </c>
      <c r="H27" s="31">
        <v>129.13999999999999</v>
      </c>
      <c r="I27" s="31">
        <f t="shared" ref="I27:I28" si="4">ROUND((H27*(1+$I$9)),2)</f>
        <v>165.93</v>
      </c>
      <c r="J27" s="31">
        <f t="shared" ref="J27:J28" si="5">ROUND((G27*I27),2)</f>
        <v>1211.29</v>
      </c>
      <c r="L27" s="78"/>
      <c r="P27" s="82"/>
    </row>
    <row r="28" spans="2:16" s="32" customFormat="1" ht="26.4" customHeight="1" x14ac:dyDescent="0.25">
      <c r="B28" s="30" t="s">
        <v>36</v>
      </c>
      <c r="C28" s="30" t="str">
        <f>'MM CALC'!B24</f>
        <v>SEINFRA</v>
      </c>
      <c r="D28" s="30" t="str">
        <f>'MM CALC'!C24</f>
        <v xml:space="preserve">ED-19637 </v>
      </c>
      <c r="E28" s="46" t="str">
        <f>'MM CALC'!D24</f>
        <v>CIMBRAMENTO PARA LAJE PRÉ-MOLDADA COM ESCORAMENTO METÁLICO, TIPO "A", ALTURA DE (200 ATÉ 310)CM, INCLUSIVE DESCARGA, MONTAGEM, DESMONTAGEM E CARGA</v>
      </c>
      <c r="F28" s="30" t="str">
        <f>'MM CALC'!E24</f>
        <v>m2 x mês</v>
      </c>
      <c r="G28" s="72">
        <f>'MM CALC'!F24</f>
        <v>7.3</v>
      </c>
      <c r="H28" s="31">
        <v>20.39</v>
      </c>
      <c r="I28" s="31">
        <f t="shared" si="4"/>
        <v>26.2</v>
      </c>
      <c r="J28" s="31">
        <f t="shared" si="5"/>
        <v>191.26</v>
      </c>
      <c r="L28" s="78"/>
      <c r="P28" s="82"/>
    </row>
    <row r="29" spans="2:16" s="32" customFormat="1" ht="26.4" customHeight="1" x14ac:dyDescent="0.25">
      <c r="B29" s="30" t="s">
        <v>43</v>
      </c>
      <c r="C29" s="30" t="str">
        <f>'MM CALC'!B25</f>
        <v>SEINFRA</v>
      </c>
      <c r="D29" s="30" t="str">
        <f>'MM CALC'!C25</f>
        <v xml:space="preserve">ED-29563 </v>
      </c>
      <c r="E29" s="46" t="str">
        <f>'MM CALC'!D25</f>
        <v>ARMADURA DE TELA DE AÇO CA-60, SOLDADA TIPO Q-61, DIÂMETRO Ø3,4MM, TRAMA COM DIMENSÃO (150X150)MM, INCLUSIVE ESPAÇADOR, EXCLUSIVE CONCRETO</v>
      </c>
      <c r="F29" s="30" t="str">
        <f>'MM CALC'!E25</f>
        <v>m2</v>
      </c>
      <c r="G29" s="72">
        <f>'MM CALC'!F25</f>
        <v>7.3</v>
      </c>
      <c r="H29" s="31">
        <v>13.96</v>
      </c>
      <c r="I29" s="31">
        <f t="shared" ref="I29" si="6">ROUND((H29*(1+$I$9)),2)</f>
        <v>17.940000000000001</v>
      </c>
      <c r="J29" s="31">
        <f t="shared" ref="J29" si="7">ROUND((G29*I29),2)</f>
        <v>130.96</v>
      </c>
      <c r="L29" s="78"/>
      <c r="P29" s="82"/>
    </row>
    <row r="30" spans="2:16" s="35" customFormat="1" ht="10.199999999999999" x14ac:dyDescent="0.25">
      <c r="B30" s="53">
        <v>5</v>
      </c>
      <c r="C30" s="53"/>
      <c r="D30" s="53"/>
      <c r="E30" s="47" t="str">
        <f>'MM CALC'!D26</f>
        <v>ALVENARIAS E DIVISÕES</v>
      </c>
      <c r="F30" s="53"/>
      <c r="G30" s="89"/>
      <c r="H30" s="124"/>
      <c r="I30" s="31"/>
      <c r="J30" s="196">
        <f>SUM(J31)</f>
        <v>2520.9499999999998</v>
      </c>
      <c r="L30" s="79"/>
      <c r="P30" s="83"/>
    </row>
    <row r="31" spans="2:16" s="227" customFormat="1" ht="28.2" customHeight="1" x14ac:dyDescent="0.25">
      <c r="B31" s="208" t="s">
        <v>38</v>
      </c>
      <c r="C31" s="208" t="str">
        <f>'MM CALC'!B27</f>
        <v>SEINFRA</v>
      </c>
      <c r="D31" s="208" t="str">
        <f>'MM CALC'!C27</f>
        <v>ED-48232</v>
      </c>
      <c r="E31" s="141" t="str">
        <f>'MM CALC'!D27</f>
        <v>ALVENARIA DE VEDAÇÃO COM TIJOLO CERÂMICO FURADO, ESP. 14CM, PARA REVESTIMENTO, INCLUSIVE ARGAMASSA PARA ASSENTAMENTO</v>
      </c>
      <c r="F31" s="208" t="str">
        <f>'MM CALC'!E27</f>
        <v>m2</v>
      </c>
      <c r="G31" s="225">
        <f>'MM CALC'!F27</f>
        <v>30.34</v>
      </c>
      <c r="H31" s="226">
        <v>64.67</v>
      </c>
      <c r="I31" s="226">
        <f>ROUND((H31*(1+$I$9)),2)</f>
        <v>83.09</v>
      </c>
      <c r="J31" s="226">
        <f>ROUND((G31*I31),2)</f>
        <v>2520.9499999999998</v>
      </c>
      <c r="L31" s="228"/>
      <c r="P31" s="229"/>
    </row>
    <row r="32" spans="2:16" s="35" customFormat="1" ht="10.199999999999999" x14ac:dyDescent="0.25">
      <c r="B32" s="53">
        <v>6</v>
      </c>
      <c r="C32" s="53"/>
      <c r="D32" s="147"/>
      <c r="E32" s="47" t="str">
        <f>'MM CALC'!D28</f>
        <v>CINTAMENTO E VERGAS</v>
      </c>
      <c r="F32" s="53"/>
      <c r="G32" s="89"/>
      <c r="H32" s="124"/>
      <c r="I32" s="34"/>
      <c r="J32" s="196">
        <f>SUM(J33:J33)</f>
        <v>425.93</v>
      </c>
      <c r="L32" s="79"/>
      <c r="P32" s="83"/>
    </row>
    <row r="33" spans="2:16" s="227" customFormat="1" ht="28.2" customHeight="1" x14ac:dyDescent="0.25">
      <c r="B33" s="208" t="s">
        <v>39</v>
      </c>
      <c r="C33" s="208" t="str">
        <f>'MM CALC'!B29</f>
        <v>SEINFRA</v>
      </c>
      <c r="D33" s="208" t="str">
        <f>'MM CALC'!C29</f>
        <v xml:space="preserve">ED-9903 </v>
      </c>
      <c r="E33" s="141" t="str">
        <f>'MM CALC'!D29</f>
        <v>VERGA OU CONTRAVERGA EM CONCRETO ESTRUTURAL PARA VÃOS DE ATÉ 150CM, PREPARADO EM OBRA COM BETONEIRA, CONTROLE "A", COM FCK 20 MPA, MOLDADA IN LOCO, INCLUSIVE ARMAÇÃO</v>
      </c>
      <c r="F33" s="208" t="str">
        <f>'MM CALC'!E29</f>
        <v>m3</v>
      </c>
      <c r="G33" s="225">
        <f>'MM CALC'!F29</f>
        <v>0.126</v>
      </c>
      <c r="H33" s="226">
        <v>2630.87</v>
      </c>
      <c r="I33" s="226">
        <f t="shared" ref="I33" si="8">ROUND((H33*(1+$I$9)),2)</f>
        <v>3380.4</v>
      </c>
      <c r="J33" s="226">
        <f t="shared" ref="J33" si="9">ROUND((G33*I33),2)</f>
        <v>425.93</v>
      </c>
      <c r="L33" s="228"/>
      <c r="P33" s="229"/>
    </row>
    <row r="34" spans="2:16" s="35" customFormat="1" ht="10.199999999999999" x14ac:dyDescent="0.25">
      <c r="B34" s="53">
        <v>7</v>
      </c>
      <c r="C34" s="30"/>
      <c r="D34" s="53"/>
      <c r="E34" s="47" t="str">
        <f>'MM CALC'!D30</f>
        <v>CALÇAMENTO / PISO</v>
      </c>
      <c r="F34" s="53"/>
      <c r="G34" s="89"/>
      <c r="H34" s="34"/>
      <c r="I34" s="34"/>
      <c r="J34" s="196">
        <f>SUM(J35:J40)</f>
        <v>2405.3100000000004</v>
      </c>
      <c r="L34" s="79"/>
      <c r="P34" s="83"/>
    </row>
    <row r="35" spans="2:16" s="227" customFormat="1" ht="28.2" customHeight="1" x14ac:dyDescent="0.25">
      <c r="B35" s="208" t="s">
        <v>45</v>
      </c>
      <c r="C35" s="208" t="str">
        <f>'MM CALC'!B31</f>
        <v>SEINFRA</v>
      </c>
      <c r="D35" s="208" t="str">
        <f>'MM CALC'!C31</f>
        <v>ED-51123</v>
      </c>
      <c r="E35" s="141" t="str">
        <f>'MM CALC'!D31</f>
        <v>REGULARIZAÇÃO MANUAL E COMPACTAÇÃO MECANIZADA DE TERRENO COM PLACA VIBRATÓRIA, EXCLUSIVE DESMATAMENTO, DESTOCAMENTO, LIMPEZA/ROÇADA DO TERRENO</v>
      </c>
      <c r="F35" s="208" t="str">
        <f>'MM CALC'!E31</f>
        <v>m2</v>
      </c>
      <c r="G35" s="225">
        <f>'MM CALC'!F31</f>
        <v>7.3</v>
      </c>
      <c r="H35" s="226">
        <v>4.8600000000000003</v>
      </c>
      <c r="I35" s="226">
        <f t="shared" ref="I35:I40" si="10">ROUND((H35*(1+$I$9)),2)</f>
        <v>6.24</v>
      </c>
      <c r="J35" s="226">
        <f t="shared" ref="J35:J40" si="11">ROUND((G35*I35),2)</f>
        <v>45.55</v>
      </c>
      <c r="L35" s="228"/>
      <c r="P35" s="229"/>
    </row>
    <row r="36" spans="2:16" s="32" customFormat="1" ht="25.05" customHeight="1" x14ac:dyDescent="0.25">
      <c r="B36" s="30" t="s">
        <v>254</v>
      </c>
      <c r="C36" s="30" t="str">
        <f>'MM CALC'!B32</f>
        <v>SEINFRA</v>
      </c>
      <c r="D36" s="30" t="str">
        <f>'MM CALC'!C32</f>
        <v>ED-50590</v>
      </c>
      <c r="E36" s="46" t="str">
        <f>'MM CALC'!D32</f>
        <v>LAJE DE TRANSIÇÃO E = 8 CM, SEM JUNTA, FCK = 10 MPA (MANUAL)</v>
      </c>
      <c r="F36" s="30" t="str">
        <f>'MM CALC'!E32</f>
        <v>m2</v>
      </c>
      <c r="G36" s="72">
        <f>'MM CALC'!F32</f>
        <v>10.914999999999999</v>
      </c>
      <c r="H36" s="31">
        <v>74.27</v>
      </c>
      <c r="I36" s="31">
        <f t="shared" si="10"/>
        <v>95.43</v>
      </c>
      <c r="J36" s="31">
        <f t="shared" si="11"/>
        <v>1041.6199999999999</v>
      </c>
      <c r="L36" s="78"/>
      <c r="P36" s="82"/>
    </row>
    <row r="37" spans="2:16" s="32" customFormat="1" ht="25.05" customHeight="1" x14ac:dyDescent="0.25">
      <c r="B37" s="30" t="s">
        <v>340</v>
      </c>
      <c r="C37" s="30" t="str">
        <f>'MM CALC'!B33</f>
        <v>SEINFRA</v>
      </c>
      <c r="D37" s="30" t="str">
        <f>'MM CALC'!C33</f>
        <v>ED-50567</v>
      </c>
      <c r="E37" s="46" t="str">
        <f>'MM CALC'!D33</f>
        <v>CONTRAPISO DESEMPENADO COM ARGAMASSA, TRAÇO 1:3 (CIMENTO E AREIA), ESP. 25MM</v>
      </c>
      <c r="F37" s="30" t="str">
        <f>'MM CALC'!E33</f>
        <v>m2</v>
      </c>
      <c r="G37" s="72">
        <f>'MM CALC'!F33</f>
        <v>5.44</v>
      </c>
      <c r="H37" s="31">
        <v>37.14</v>
      </c>
      <c r="I37" s="31">
        <f t="shared" si="10"/>
        <v>47.72</v>
      </c>
      <c r="J37" s="31">
        <f t="shared" si="11"/>
        <v>259.60000000000002</v>
      </c>
      <c r="L37" s="78"/>
      <c r="P37" s="82"/>
    </row>
    <row r="38" spans="2:16" s="32" customFormat="1" ht="40.049999999999997" customHeight="1" x14ac:dyDescent="0.25">
      <c r="B38" s="30" t="s">
        <v>341</v>
      </c>
      <c r="C38" s="30" t="str">
        <f>'MM CALC'!B34</f>
        <v>SEINFRA</v>
      </c>
      <c r="D38" s="30" t="str">
        <f>'MM CALC'!C34</f>
        <v xml:space="preserve">ED-50542 </v>
      </c>
      <c r="E38" s="46" t="str">
        <f>'MM CALC'!D34</f>
        <v>REVESTIMENTO COM CERÂMICA APLICADO EM PISO, ACABAMENTO ESMALTADO, AMBIENTE INTERNO, PADRÃO EXTRA, DIMENSÃO DA PEÇA ATÉ 2025 CM2, PEI V, ASSENTAMENTO COM ARGAMASSA INDUSTRIALIZADA, INCLUSIVE REJUNTAMENTO</v>
      </c>
      <c r="F38" s="30" t="str">
        <f>'MM CALC'!E34</f>
        <v>m2</v>
      </c>
      <c r="G38" s="72">
        <f>'MM CALC'!F34</f>
        <v>5.44</v>
      </c>
      <c r="H38" s="31">
        <v>89.61</v>
      </c>
      <c r="I38" s="31">
        <f t="shared" si="10"/>
        <v>115.14</v>
      </c>
      <c r="J38" s="31">
        <f t="shared" si="11"/>
        <v>626.36</v>
      </c>
      <c r="L38" s="78"/>
      <c r="P38" s="82"/>
    </row>
    <row r="39" spans="2:16" s="227" customFormat="1" ht="28.2" customHeight="1" x14ac:dyDescent="0.25">
      <c r="B39" s="208" t="s">
        <v>347</v>
      </c>
      <c r="C39" s="208" t="str">
        <f>'MM CALC'!B35</f>
        <v>SEINFRA</v>
      </c>
      <c r="D39" s="208" t="str">
        <f>'MM CALC'!C35</f>
        <v>ED-50553</v>
      </c>
      <c r="E39" s="141" t="str">
        <f>'MM CALC'!D35</f>
        <v>PISO CIMENTADO NATADO COM ARGAMASSA, TRAÇO 1:3 (CIMENTO E AREIA), ESP. 25MM, ACABAMENTO QUEIMADO, SEM JUNTA DE DILATAÇÃO</v>
      </c>
      <c r="F39" s="208" t="str">
        <f>'MM CALC'!E35</f>
        <v>m2</v>
      </c>
      <c r="G39" s="225">
        <f>'MM CALC'!F35</f>
        <v>5.4749999999999996</v>
      </c>
      <c r="H39" s="226">
        <v>42.95</v>
      </c>
      <c r="I39" s="226">
        <f t="shared" si="10"/>
        <v>55.19</v>
      </c>
      <c r="J39" s="226">
        <f t="shared" si="11"/>
        <v>302.17</v>
      </c>
      <c r="L39" s="228"/>
      <c r="P39" s="229"/>
    </row>
    <row r="40" spans="2:16" s="32" customFormat="1" ht="25.05" customHeight="1" x14ac:dyDescent="0.25">
      <c r="B40" s="30" t="s">
        <v>348</v>
      </c>
      <c r="C40" s="30" t="str">
        <f>'MM CALC'!B36</f>
        <v>SEINFRA</v>
      </c>
      <c r="D40" s="30" t="str">
        <f>'MM CALC'!C36</f>
        <v>ED-51003</v>
      </c>
      <c r="E40" s="46" t="str">
        <f>'MM CALC'!D36</f>
        <v>SOLEIRA EM GRANITO, NA COR CINZA ANDORINHA, ESP. 3CM, INCLUSIVE REJUNTAMENTO</v>
      </c>
      <c r="F40" s="30" t="str">
        <f>'MM CALC'!E36</f>
        <v>m2</v>
      </c>
      <c r="G40" s="72">
        <f>'MM CALC'!F36</f>
        <v>0.27</v>
      </c>
      <c r="H40" s="31">
        <v>374.75</v>
      </c>
      <c r="I40" s="31">
        <f t="shared" si="10"/>
        <v>481.52</v>
      </c>
      <c r="J40" s="31">
        <f t="shared" si="11"/>
        <v>130.01</v>
      </c>
      <c r="L40" s="78"/>
      <c r="P40" s="82"/>
    </row>
    <row r="41" spans="2:16" s="35" customFormat="1" ht="10.199999999999999" x14ac:dyDescent="0.25">
      <c r="B41" s="53">
        <v>8</v>
      </c>
      <c r="C41" s="30"/>
      <c r="D41" s="53"/>
      <c r="E41" s="47" t="str">
        <f>'MM CALC'!D37</f>
        <v>COBERTURAS</v>
      </c>
      <c r="F41" s="53"/>
      <c r="G41" s="89"/>
      <c r="H41" s="34"/>
      <c r="I41" s="34"/>
      <c r="J41" s="196">
        <f>SUM(J42:J46)</f>
        <v>3702.3899999999994</v>
      </c>
      <c r="L41" s="79"/>
      <c r="P41" s="83"/>
    </row>
    <row r="42" spans="2:16" s="227" customFormat="1" ht="28.2" customHeight="1" x14ac:dyDescent="0.25">
      <c r="B42" s="208" t="s">
        <v>47</v>
      </c>
      <c r="C42" s="208" t="str">
        <f>'MM CALC'!B38</f>
        <v>SEINFRA</v>
      </c>
      <c r="D42" s="208" t="str">
        <f>'MM CALC'!C38</f>
        <v>ED-48407</v>
      </c>
      <c r="E42" s="141" t="str">
        <f>'MM CALC'!D38</f>
        <v>ENGRADAMENTO EM MADEIRA PARAJU OU EQUIVALENTE, PARA TELHAS CERÂMICAS OU DE CONCRETO, EXCLUSIVE TELHAS</v>
      </c>
      <c r="F42" s="208" t="str">
        <f>'MM CALC'!E38</f>
        <v>m2</v>
      </c>
      <c r="G42" s="225">
        <f>'MM CALC'!F38</f>
        <v>10.850999999999999</v>
      </c>
      <c r="H42" s="226">
        <v>124.93</v>
      </c>
      <c r="I42" s="226">
        <f t="shared" ref="I42:I46" si="12">ROUND((H42*(1+$I$9)),2)</f>
        <v>160.52000000000001</v>
      </c>
      <c r="J42" s="226">
        <f t="shared" ref="J42:J46" si="13">ROUND((G42*I42),2)</f>
        <v>1741.8</v>
      </c>
      <c r="L42" s="228"/>
      <c r="P42" s="229"/>
    </row>
    <row r="43" spans="2:16" s="227" customFormat="1" ht="28.2" customHeight="1" x14ac:dyDescent="0.25">
      <c r="B43" s="208" t="s">
        <v>144</v>
      </c>
      <c r="C43" s="208" t="str">
        <f>'MM CALC'!B39</f>
        <v>SEINFRA</v>
      </c>
      <c r="D43" s="208" t="str">
        <f>'MM CALC'!C39</f>
        <v>ED-48420</v>
      </c>
      <c r="E43" s="141" t="str">
        <f>'MM CALC'!D39</f>
        <v>COBERTURA EM TELHA CERÂMICA, TIPO PLAN, INCLUSIVE FIXAÇÃO, EXCLUSIVE ENGRADAMENTO E MANTA ISOLANTE/ TÉRMICA</v>
      </c>
      <c r="F43" s="208" t="str">
        <f>'MM CALC'!E39</f>
        <v>m2</v>
      </c>
      <c r="G43" s="225">
        <f>'MM CALC'!F39</f>
        <v>10.850999999999999</v>
      </c>
      <c r="H43" s="226">
        <v>102.78</v>
      </c>
      <c r="I43" s="226">
        <f t="shared" si="12"/>
        <v>132.06</v>
      </c>
      <c r="J43" s="226">
        <f t="shared" si="13"/>
        <v>1432.98</v>
      </c>
      <c r="L43" s="228"/>
      <c r="P43" s="229"/>
    </row>
    <row r="44" spans="2:16" s="227" customFormat="1" ht="28.2" customHeight="1" x14ac:dyDescent="0.25">
      <c r="B44" s="208" t="s">
        <v>255</v>
      </c>
      <c r="C44" s="208" t="str">
        <f>'MM CALC'!B40</f>
        <v>SEINFRA</v>
      </c>
      <c r="D44" s="208" t="str">
        <f>'MM CALC'!C40</f>
        <v>ED-48408</v>
      </c>
      <c r="E44" s="141" t="str">
        <f>'MM CALC'!D40</f>
        <v>ENGRADAMENTO EM MADEIRA PARAJU OU EQUIVALENTE, PARA TELHAS DE FIBROCIMENTO ONDULADAS, EXCLUSIVE TELHAS</v>
      </c>
      <c r="F44" s="208" t="str">
        <f>'MM CALC'!E40</f>
        <v>m2</v>
      </c>
      <c r="G44" s="225">
        <f>'MM CALC'!F40</f>
        <v>1.83222</v>
      </c>
      <c r="H44" s="226">
        <v>91.36</v>
      </c>
      <c r="I44" s="226">
        <f t="shared" si="12"/>
        <v>117.39</v>
      </c>
      <c r="J44" s="226">
        <f t="shared" si="13"/>
        <v>215.08</v>
      </c>
      <c r="L44" s="228"/>
      <c r="P44" s="229"/>
    </row>
    <row r="45" spans="2:16" s="32" customFormat="1" ht="42" customHeight="1" x14ac:dyDescent="0.25">
      <c r="B45" s="30" t="s">
        <v>256</v>
      </c>
      <c r="C45" s="30" t="str">
        <f>'MM CALC'!B41</f>
        <v>SEINFRA</v>
      </c>
      <c r="D45" s="30" t="str">
        <f>'MM CALC'!C41</f>
        <v>ED-48425</v>
      </c>
      <c r="E45" s="46" t="str">
        <f>'MM CALC'!D41</f>
        <v>COBERTURA EM TELHA DE FIBROCIMENTO, TIPO ONDULADA, ESP. 8MM, COM RECOBRIMENTO TRANSVERSAL E LONGITUDINAL, EXCLUSIVE CUMEEIRA E ENGRADAMENTO, INCLUSIVE ACESSÓRIOS DE FIXAÇÃO E IÇAMENTO MANUAL VERTICAL</v>
      </c>
      <c r="F45" s="30" t="str">
        <f>'MM CALC'!E41</f>
        <v>m2</v>
      </c>
      <c r="G45" s="72">
        <f>'MM CALC'!F41</f>
        <v>1.83222</v>
      </c>
      <c r="H45" s="31">
        <v>82.46</v>
      </c>
      <c r="I45" s="31">
        <f t="shared" si="12"/>
        <v>105.95</v>
      </c>
      <c r="J45" s="31">
        <f t="shared" si="13"/>
        <v>194.12</v>
      </c>
      <c r="L45" s="78"/>
      <c r="P45" s="82"/>
    </row>
    <row r="46" spans="2:16" s="227" customFormat="1" ht="28.2" customHeight="1" x14ac:dyDescent="0.25">
      <c r="B46" s="208" t="s">
        <v>257</v>
      </c>
      <c r="C46" s="208" t="str">
        <f>'MM CALC'!B42</f>
        <v>SEINFRA</v>
      </c>
      <c r="D46" s="208" t="str">
        <f>'MM CALC'!C42</f>
        <v>ED-48400</v>
      </c>
      <c r="E46" s="141" t="str">
        <f>'MM CALC'!D42</f>
        <v>CUMEEIRA PARA TELHA CERÂMICA, INCLUSIVE EMBOÇAMENTO COM ARGAMASSA, TRAÇO 1:2:9 (CIMENTO, CAL E AREIA), COM PREPARO MECANIZADO</v>
      </c>
      <c r="F46" s="208" t="str">
        <f>'MM CALC'!E42</f>
        <v>m</v>
      </c>
      <c r="G46" s="225">
        <f>'MM CALC'!F42</f>
        <v>2.8000000000000003</v>
      </c>
      <c r="H46" s="226">
        <v>32.909999999999997</v>
      </c>
      <c r="I46" s="226">
        <f t="shared" si="12"/>
        <v>42.29</v>
      </c>
      <c r="J46" s="226">
        <f t="shared" si="13"/>
        <v>118.41</v>
      </c>
      <c r="L46" s="228"/>
      <c r="P46" s="229"/>
    </row>
    <row r="47" spans="2:16" s="35" customFormat="1" ht="10.199999999999999" x14ac:dyDescent="0.25">
      <c r="B47" s="53">
        <v>9</v>
      </c>
      <c r="C47" s="30"/>
      <c r="D47" s="53"/>
      <c r="E47" s="47" t="str">
        <f>'MM CALC'!D43</f>
        <v>INSTALAÇÕES HIDROSSANITÁRIAS</v>
      </c>
      <c r="F47" s="53"/>
      <c r="G47" s="89"/>
      <c r="H47" s="34"/>
      <c r="I47" s="34"/>
      <c r="J47" s="196">
        <f>SUM(J48:J65)</f>
        <v>12330.630000000001</v>
      </c>
      <c r="L47" s="79"/>
      <c r="P47" s="83"/>
    </row>
    <row r="48" spans="2:16" s="32" customFormat="1" ht="51.6" customHeight="1" x14ac:dyDescent="0.25">
      <c r="B48" s="30" t="s">
        <v>53</v>
      </c>
      <c r="C48" s="30" t="str">
        <f>'MM CALC'!B44</f>
        <v>SEINFRA</v>
      </c>
      <c r="D48" s="30" t="str">
        <f>'MM CALC'!C44</f>
        <v>ED-50223</v>
      </c>
      <c r="E48" s="46" t="str">
        <f>'MM CALC'!D44</f>
        <v>PONTO DE EMBUTIR PARA ESGOTO EM TUBO PVC RÍGIDO, PB - SÉRIE NORMAL, DN 40MM (1.1/2"), EMBUTIDO NA ALVENARIA/PISO, COM ALTURA (SAÍDA) DE 50CM DO PISO, COM DISTÂNCIA DE ATÉ CINCO (5) METROS DO RAMAL DE ESGOTO, EXCLUSIVE ESCAVAÇÃO, INCLUSIVE CONEXÕES E FIXAÇÃO DO TUBO COM ENCHIMENTO DO RASGO NA ALVENARIA/CONCRETO COM ARGAMASSA</v>
      </c>
      <c r="F48" s="30" t="str">
        <f>'MM CALC'!E44</f>
        <v>un</v>
      </c>
      <c r="G48" s="72">
        <f>'MM CALC'!F44</f>
        <v>4</v>
      </c>
      <c r="H48" s="31">
        <v>145.47999999999999</v>
      </c>
      <c r="I48" s="31">
        <f t="shared" ref="I48:I65" si="14">ROUND((H48*(1+$I$9)),2)</f>
        <v>186.93</v>
      </c>
      <c r="J48" s="31">
        <f t="shared" ref="J48:J65" si="15">ROUND((G48*I48),2)</f>
        <v>747.72</v>
      </c>
      <c r="L48" s="78"/>
      <c r="P48" s="82"/>
    </row>
    <row r="49" spans="2:16" s="32" customFormat="1" ht="43.2" customHeight="1" x14ac:dyDescent="0.25">
      <c r="B49" s="30" t="s">
        <v>146</v>
      </c>
      <c r="C49" s="30" t="str">
        <f>'MM CALC'!B45</f>
        <v>SEINFRA</v>
      </c>
      <c r="D49" s="30" t="str">
        <f>'MM CALC'!C45</f>
        <v>ED-50225</v>
      </c>
      <c r="E49" s="46" t="str">
        <f>'MM CALC'!D45</f>
        <v>PONTO DE EMBUTIR PARA ESGOTO EM TUBO PVC RÍGIDO, PBV - SÉRIE NORMAL, DN 100MM (4"), EMBUTIDO EM PISO COM DISTÂNCIA DE ATÉ CINCO (5) METROS DO RAMAL DE ESGOTO, INCLUSIVE CONEXÕES E FIXAÇÃO DO TUBO COM ENCHIMENTO DO RASGO NO CONCRETO COM ARGAMASSA</v>
      </c>
      <c r="F49" s="30" t="str">
        <f>'MM CALC'!E45</f>
        <v>un</v>
      </c>
      <c r="G49" s="72">
        <f>'MM CALC'!F45</f>
        <v>2</v>
      </c>
      <c r="H49" s="31">
        <v>281.10000000000002</v>
      </c>
      <c r="I49" s="31">
        <f t="shared" si="14"/>
        <v>361.19</v>
      </c>
      <c r="J49" s="31">
        <f t="shared" si="15"/>
        <v>722.38</v>
      </c>
      <c r="L49" s="78"/>
      <c r="P49" s="82"/>
    </row>
    <row r="50" spans="2:16" s="32" customFormat="1" ht="43.2" customHeight="1" x14ac:dyDescent="0.25">
      <c r="B50" s="30" t="s">
        <v>147</v>
      </c>
      <c r="C50" s="30" t="str">
        <f>'MM CALC'!B46</f>
        <v>SEINFRA</v>
      </c>
      <c r="D50" s="30" t="str">
        <f>'MM CALC'!C46</f>
        <v>ED-50221</v>
      </c>
      <c r="E50" s="46" t="str">
        <f>'MM CALC'!D46</f>
        <v>PONTO DE EMBUTIR PARA ÁGUA FRIA EM TUBO DE PVC RÍGIDO SOLDÁVEL, DN 20MM (1/2"), EMBUTIDO NA ALVENARIA COM DISTÂNCIA DE ATÉ CINCO (5) METROS DA TOMADA DE ÁGUA, INCLUSIVE CONEXÕES E FIXAÇÃO DO TUBO COM ENCHIMENTO DO RASGO NA ALVENARIA/CONCRETO COM ARGAMASSA</v>
      </c>
      <c r="F50" s="30" t="str">
        <f>'MM CALC'!E46</f>
        <v>un</v>
      </c>
      <c r="G50" s="72">
        <f>'MM CALC'!F46</f>
        <v>6</v>
      </c>
      <c r="H50" s="31">
        <v>124.95</v>
      </c>
      <c r="I50" s="31">
        <f t="shared" si="14"/>
        <v>160.55000000000001</v>
      </c>
      <c r="J50" s="31">
        <f t="shared" si="15"/>
        <v>963.3</v>
      </c>
      <c r="L50" s="78"/>
      <c r="P50" s="82"/>
    </row>
    <row r="51" spans="2:16" s="227" customFormat="1" ht="28.2" customHeight="1" x14ac:dyDescent="0.25">
      <c r="B51" s="208" t="s">
        <v>148</v>
      </c>
      <c r="C51" s="208" t="str">
        <f>'MM CALC'!B47</f>
        <v>SEINFRA</v>
      </c>
      <c r="D51" s="208" t="str">
        <f>'MM CALC'!C47</f>
        <v>ED-49935</v>
      </c>
      <c r="E51" s="141" t="str">
        <f>'MM CALC'!D47</f>
        <v>CAIXA D´ÁGUA DE POLIETILENO, CAPACIDADE DE 500L, INCLUSIVE TAMPA, TORNEIRA DE BOIA, EXTRAVASOR, TUBO DE LIMPEZA E ACESSÓRIOS, EXCLUSIVE TUBULAÇÃO DE ENTRADA/ SAÍDA DE ÁGUA</v>
      </c>
      <c r="F51" s="208" t="str">
        <f>'MM CALC'!E47</f>
        <v>un</v>
      </c>
      <c r="G51" s="225">
        <f>'MM CALC'!F47</f>
        <v>1</v>
      </c>
      <c r="H51" s="226">
        <v>669.87</v>
      </c>
      <c r="I51" s="226">
        <f t="shared" si="14"/>
        <v>860.72</v>
      </c>
      <c r="J51" s="226">
        <f t="shared" si="15"/>
        <v>860.72</v>
      </c>
      <c r="L51" s="228"/>
      <c r="P51" s="229"/>
    </row>
    <row r="52" spans="2:16" s="32" customFormat="1" ht="51.6" customHeight="1" x14ac:dyDescent="0.25">
      <c r="B52" s="30" t="s">
        <v>149</v>
      </c>
      <c r="C52" s="30" t="str">
        <f>'MM CALC'!B48</f>
        <v>SEINFRA</v>
      </c>
      <c r="D52" s="30" t="str">
        <f>'MM CALC'!C48</f>
        <v>ED-50283</v>
      </c>
      <c r="E52" s="46" t="str">
        <f>'MM CALC'!D48</f>
        <v>LAVATÓRIO DE LOUÇA BRANCA SEM COLUNA, TAMANHO MÉDIO, INCLUSIVE ACESSÓRIOS DE FIXAÇÃO, VÁLVULA DE ESCOAMENTO DE METAL COM ACABAMENTO CROMADO, SIFÃO DE METAL TIPO COPO COM ACABAMENTO CROMADO, FORNECIMENTO, INSTALAÇÃO E REJUNTAMENTO, EXCLUSIVE TORNEIRA E ENGATE FLEXÍVEL</v>
      </c>
      <c r="F52" s="30" t="str">
        <f>'MM CALC'!E48</f>
        <v>un</v>
      </c>
      <c r="G52" s="72">
        <f>'MM CALC'!F48</f>
        <v>2</v>
      </c>
      <c r="H52" s="31">
        <v>290.02</v>
      </c>
      <c r="I52" s="31">
        <f t="shared" si="14"/>
        <v>372.65</v>
      </c>
      <c r="J52" s="31">
        <f t="shared" si="15"/>
        <v>745.3</v>
      </c>
      <c r="L52" s="78"/>
      <c r="P52" s="82"/>
    </row>
    <row r="53" spans="2:16" s="32" customFormat="1" ht="30.6" x14ac:dyDescent="0.25">
      <c r="B53" s="30" t="s">
        <v>355</v>
      </c>
      <c r="C53" s="30" t="str">
        <f>'MM CALC'!B49</f>
        <v>SEINFRA</v>
      </c>
      <c r="D53" s="30" t="str">
        <f>'MM CALC'!C49</f>
        <v>ED-50329</v>
      </c>
      <c r="E53" s="46" t="str">
        <f>'MM CALC'!D49</f>
        <v>TORNEIRA METÁLICA PARA LAVATÓRIO, FECHAMENTO AUTOMÁTICO, ACABAMENTO CROMADO, COM AREJADOR, APLICAÇÃO DE MESA, INCLUSIVE ENGATE FLEXÍVEL METÁLICO, FORNECIMENTO E INSTALAÇÃO</v>
      </c>
      <c r="F53" s="30" t="str">
        <f>'MM CALC'!E49</f>
        <v>un</v>
      </c>
      <c r="G53" s="72">
        <f>'MM CALC'!F49</f>
        <v>2</v>
      </c>
      <c r="H53" s="102">
        <v>408.96</v>
      </c>
      <c r="I53" s="31">
        <f t="shared" si="14"/>
        <v>525.47</v>
      </c>
      <c r="J53" s="31">
        <f t="shared" si="15"/>
        <v>1050.94</v>
      </c>
      <c r="L53" s="78"/>
      <c r="P53" s="82"/>
    </row>
    <row r="54" spans="2:16" s="227" customFormat="1" ht="28.2" customHeight="1" x14ac:dyDescent="0.25">
      <c r="B54" s="208" t="s">
        <v>356</v>
      </c>
      <c r="C54" s="208" t="str">
        <f>'MM CALC'!B50</f>
        <v>SEINFRA</v>
      </c>
      <c r="D54" s="208" t="str">
        <f>'MM CALC'!C50</f>
        <v>ED-50323</v>
      </c>
      <c r="E54" s="141" t="str">
        <f>'MM CALC'!D50</f>
        <v>TORNEIRA METÁLICA PARA IRRIGAÇÃO/JARDIM, ACABAMENTO CROMADO, APLICAÇÃO DE PAREDE, INCLUSIVE FORNECIMENTO E INSTALAÇÃO</v>
      </c>
      <c r="F54" s="208" t="str">
        <f>'MM CALC'!E50</f>
        <v>un</v>
      </c>
      <c r="G54" s="225">
        <f>'MM CALC'!F50</f>
        <v>2</v>
      </c>
      <c r="H54" s="226">
        <v>52.07</v>
      </c>
      <c r="I54" s="226">
        <f t="shared" si="14"/>
        <v>66.900000000000006</v>
      </c>
      <c r="J54" s="226">
        <f t="shared" si="15"/>
        <v>133.80000000000001</v>
      </c>
      <c r="L54" s="228"/>
      <c r="P54" s="229"/>
    </row>
    <row r="55" spans="2:16" s="32" customFormat="1" ht="61.2" x14ac:dyDescent="0.25">
      <c r="B55" s="30" t="s">
        <v>357</v>
      </c>
      <c r="C55" s="30" t="str">
        <f>'MM CALC'!B51</f>
        <v>SEINFRA</v>
      </c>
      <c r="D55" s="30" t="str">
        <f>'MM CALC'!C51</f>
        <v>ED-50301</v>
      </c>
      <c r="E55" s="46" t="str">
        <f>'MM CALC'!D51</f>
        <v>BACIA SANITÁRIA (VASO) DE LOUÇA CONVENCIONAL, ACESSÍVEL (PCR/PMR), COR BRANCA, COM INSTALAÇÃO DE SÓCULO NA BASE DA BACIA ACOMPANHANDO A PROJEÇÃO DA BASE, NÃO ULTRAPASSANDO ALTURA DE 5CM, ALTURA MÁXIMA DE 46CM ( BACIA+ASSENTO), INCLUSIVE ACESSÓRIOS DE FIXAÇÃO/ VEDAÇÃO, VÁLVULA DE DESCARGA METÁLICA COM ACIONAMENTO DUPLO, TUBO DE LIGAÇÃO DE LATÃO COM CANOPLA, FORNECIMENTO, INSTALAÇÃO E REJUNTAMENTO, EXCLUSIVE ASSENTO</v>
      </c>
      <c r="F55" s="30" t="str">
        <f>'MM CALC'!E51</f>
        <v>un</v>
      </c>
      <c r="G55" s="72">
        <f>'MM CALC'!F51</f>
        <v>2</v>
      </c>
      <c r="H55" s="102">
        <v>833.35</v>
      </c>
      <c r="I55" s="31">
        <f t="shared" si="14"/>
        <v>1070.77</v>
      </c>
      <c r="J55" s="31">
        <f t="shared" si="15"/>
        <v>2141.54</v>
      </c>
      <c r="L55" s="78"/>
      <c r="P55" s="82"/>
    </row>
    <row r="56" spans="2:16" s="32" customFormat="1" ht="25.05" customHeight="1" x14ac:dyDescent="0.25">
      <c r="B56" s="30" t="s">
        <v>358</v>
      </c>
      <c r="C56" s="30" t="str">
        <f>'MM CALC'!B52</f>
        <v>SEINFRA</v>
      </c>
      <c r="D56" s="30" t="str">
        <f>'MM CALC'!C52</f>
        <v>ED-48157</v>
      </c>
      <c r="E56" s="46" t="str">
        <f>'MM CALC'!D52</f>
        <v>ASSENTO PARA VASO PNE (NBR 9050)</v>
      </c>
      <c r="F56" s="30" t="str">
        <f>'MM CALC'!E52</f>
        <v>un</v>
      </c>
      <c r="G56" s="72">
        <f>'MM CALC'!F52</f>
        <v>2</v>
      </c>
      <c r="H56" s="31">
        <v>186.56</v>
      </c>
      <c r="I56" s="31">
        <f t="shared" si="14"/>
        <v>239.71</v>
      </c>
      <c r="J56" s="31">
        <f t="shared" si="15"/>
        <v>479.42</v>
      </c>
      <c r="L56" s="78"/>
      <c r="P56" s="82"/>
    </row>
    <row r="57" spans="2:16" s="32" customFormat="1" ht="39" customHeight="1" x14ac:dyDescent="0.25">
      <c r="B57" s="30" t="s">
        <v>359</v>
      </c>
      <c r="C57" s="30" t="str">
        <f>'MM CALC'!B53</f>
        <v>SEINFRA</v>
      </c>
      <c r="D57" s="30" t="str">
        <f>'MM CALC'!C53</f>
        <v>ED-48160</v>
      </c>
      <c r="E57" s="46" t="str">
        <f>'MM CALC'!D53</f>
        <v>BARRA DE APOIO EM AÇO INOX POLIDO RETA, DN 1.1/4" (31,75MM), PARA ACESSIBILIDADE (PMR/PCR), COMPRIMENTO 80CM, INSTALADO EM PAREDE, INCLUSIVE FORNECIMENTO, INSTALAÇÃO E ACESSÓRIOS PARA FIXAÇÃO</v>
      </c>
      <c r="F57" s="30" t="str">
        <f>'MM CALC'!E53</f>
        <v>un</v>
      </c>
      <c r="G57" s="72">
        <f>'MM CALC'!F53</f>
        <v>4</v>
      </c>
      <c r="H57" s="102">
        <v>226.89</v>
      </c>
      <c r="I57" s="31">
        <f t="shared" si="14"/>
        <v>291.52999999999997</v>
      </c>
      <c r="J57" s="31">
        <f t="shared" si="15"/>
        <v>1166.1199999999999</v>
      </c>
      <c r="L57" s="78"/>
      <c r="P57" s="82"/>
    </row>
    <row r="58" spans="2:16" s="32" customFormat="1" ht="39" customHeight="1" x14ac:dyDescent="0.25">
      <c r="B58" s="30" t="s">
        <v>360</v>
      </c>
      <c r="C58" s="30" t="str">
        <f>'MM CALC'!B54</f>
        <v>SEINFRA</v>
      </c>
      <c r="D58" s="30" t="str">
        <f>'MM CALC'!C54</f>
        <v>ED-48165</v>
      </c>
      <c r="E58" s="46" t="str">
        <f>'MM CALC'!D54</f>
        <v>BARRA DE APOIO EM AÇO INOX POLIDO EM "L", DN 1.1/4" (31,75MM), PARA ACESSIBILIDADE (PMR/PCR), COMPRIMENTO 140CM, INSTALADO EM PAREDE, INCLUSIVE FORNECIMENTO, INSTALAÇÃO E ACESSÓRIOS PARA FIXAÇÃO</v>
      </c>
      <c r="F58" s="30" t="str">
        <f>'MM CALC'!E54</f>
        <v>un</v>
      </c>
      <c r="G58" s="72">
        <f>'MM CALC'!F54</f>
        <v>2</v>
      </c>
      <c r="H58" s="102">
        <v>324.70999999999998</v>
      </c>
      <c r="I58" s="31">
        <f t="shared" si="14"/>
        <v>417.22</v>
      </c>
      <c r="J58" s="31">
        <f t="shared" si="15"/>
        <v>834.44</v>
      </c>
      <c r="L58" s="78"/>
      <c r="P58" s="82"/>
    </row>
    <row r="59" spans="2:16" s="32" customFormat="1" ht="39" customHeight="1" x14ac:dyDescent="0.25">
      <c r="B59" s="30" t="s">
        <v>361</v>
      </c>
      <c r="C59" s="30" t="str">
        <f>'MM CALC'!B55</f>
        <v>SEINFRA</v>
      </c>
      <c r="D59" s="30" t="str">
        <f>'MM CALC'!C55</f>
        <v>ED-48163</v>
      </c>
      <c r="E59" s="46" t="str">
        <f>'MM CALC'!D55</f>
        <v>BARRA DE APOIO EM AÇO INOX POLIDO RETA, DN 1.1/4" (31,75MM), PARA ACESSIBILIDADE (PMR/PCR), COMPRIMENTO 40CM, INSTALADO EM PORTA/PAREDE, INCLUSIVE FORNECIMENTO, INSTALAÇÃO E ACESSÓRIOS PARA FIXAÇÃO</v>
      </c>
      <c r="F59" s="30" t="str">
        <f>'MM CALC'!E55</f>
        <v>un</v>
      </c>
      <c r="G59" s="72">
        <f>'MM CALC'!F55</f>
        <v>4</v>
      </c>
      <c r="H59" s="102">
        <v>136.63</v>
      </c>
      <c r="I59" s="31">
        <f t="shared" si="14"/>
        <v>175.56</v>
      </c>
      <c r="J59" s="31">
        <f t="shared" si="15"/>
        <v>702.24</v>
      </c>
      <c r="L59" s="78"/>
      <c r="P59" s="82"/>
    </row>
    <row r="60" spans="2:16" s="32" customFormat="1" ht="25.05" customHeight="1" x14ac:dyDescent="0.25">
      <c r="B60" s="30" t="s">
        <v>362</v>
      </c>
      <c r="C60" s="30" t="str">
        <f>'MM CALC'!B56</f>
        <v>SEINFRA</v>
      </c>
      <c r="D60" s="30" t="str">
        <f>'MM CALC'!C56</f>
        <v>ED-48183</v>
      </c>
      <c r="E60" s="46" t="str">
        <f>'MM CALC'!D56</f>
        <v>PAPELEIRA PLASTICA TIPO DISPENSER PARA PAPEL HIGIENICO ROLAO</v>
      </c>
      <c r="F60" s="30" t="str">
        <f>'MM CALC'!E56</f>
        <v>un</v>
      </c>
      <c r="G60" s="72">
        <f>'MM CALC'!F56</f>
        <v>2</v>
      </c>
      <c r="H60" s="31">
        <v>64.599999999999994</v>
      </c>
      <c r="I60" s="31">
        <f t="shared" si="14"/>
        <v>83</v>
      </c>
      <c r="J60" s="31">
        <f t="shared" si="15"/>
        <v>166</v>
      </c>
      <c r="L60" s="78"/>
      <c r="P60" s="82"/>
    </row>
    <row r="61" spans="2:16" s="32" customFormat="1" ht="25.05" customHeight="1" x14ac:dyDescent="0.25">
      <c r="B61" s="30" t="s">
        <v>363</v>
      </c>
      <c r="C61" s="30" t="str">
        <f>'MM CALC'!B57</f>
        <v>SEINFRA</v>
      </c>
      <c r="D61" s="30" t="str">
        <f>'MM CALC'!C57</f>
        <v>ED-48180</v>
      </c>
      <c r="E61" s="46" t="str">
        <f>'MM CALC'!D57</f>
        <v>DISPENSER EM AÇO INOX PARA PAPEL TOALHA 2 OU 3 FOLHAS</v>
      </c>
      <c r="F61" s="30" t="str">
        <f>'MM CALC'!E57</f>
        <v>un</v>
      </c>
      <c r="G61" s="72">
        <f>'MM CALC'!F57</f>
        <v>2</v>
      </c>
      <c r="H61" s="31">
        <v>203.11</v>
      </c>
      <c r="I61" s="31">
        <f t="shared" si="14"/>
        <v>260.98</v>
      </c>
      <c r="J61" s="31">
        <f t="shared" si="15"/>
        <v>521.96</v>
      </c>
      <c r="L61" s="78"/>
      <c r="P61" s="82"/>
    </row>
    <row r="62" spans="2:16" s="32" customFormat="1" ht="25.05" customHeight="1" x14ac:dyDescent="0.25">
      <c r="B62" s="30" t="s">
        <v>364</v>
      </c>
      <c r="C62" s="30" t="str">
        <f>'MM CALC'!B58</f>
        <v>SEINFRA</v>
      </c>
      <c r="D62" s="30" t="str">
        <f>'MM CALC'!C58</f>
        <v>ED-48184</v>
      </c>
      <c r="E62" s="46" t="str">
        <f>'MM CALC'!D58</f>
        <v>SABONETEIRA EM AÇO INOX TIPO DISPENSER PARA SABONETE LÍQUIDO COM RESERVATÓRIO 800 ML</v>
      </c>
      <c r="F62" s="30" t="str">
        <f>'MM CALC'!E58</f>
        <v>un</v>
      </c>
      <c r="G62" s="72">
        <f>'MM CALC'!F58</f>
        <v>2</v>
      </c>
      <c r="H62" s="31">
        <v>218.83</v>
      </c>
      <c r="I62" s="31">
        <f t="shared" si="14"/>
        <v>281.17</v>
      </c>
      <c r="J62" s="31">
        <f t="shared" si="15"/>
        <v>562.34</v>
      </c>
      <c r="L62" s="78"/>
      <c r="P62" s="82"/>
    </row>
    <row r="63" spans="2:16" s="32" customFormat="1" ht="25.05" customHeight="1" x14ac:dyDescent="0.25">
      <c r="B63" s="30" t="s">
        <v>365</v>
      </c>
      <c r="C63" s="30" t="str">
        <f>'MM CALC'!B59</f>
        <v>SEINFRA</v>
      </c>
      <c r="D63" s="30" t="str">
        <f>'MM CALC'!C59</f>
        <v>ED-49956</v>
      </c>
      <c r="E63" s="46" t="str">
        <f>'MM CALC'!D59</f>
        <v>RALO SIFONADO PVC CILINDRÍCO 100 X 70 X 40 MM COM GRELHA REDONDA</v>
      </c>
      <c r="F63" s="30" t="str">
        <f>'MM CALC'!E59</f>
        <v>un</v>
      </c>
      <c r="G63" s="72">
        <f>'MM CALC'!F59</f>
        <v>2</v>
      </c>
      <c r="H63" s="31">
        <v>27.65</v>
      </c>
      <c r="I63" s="31">
        <f t="shared" si="14"/>
        <v>35.53</v>
      </c>
      <c r="J63" s="31">
        <f t="shared" si="15"/>
        <v>71.06</v>
      </c>
      <c r="L63" s="78"/>
      <c r="P63" s="82"/>
    </row>
    <row r="64" spans="2:16" s="32" customFormat="1" ht="39" customHeight="1" x14ac:dyDescent="0.25">
      <c r="B64" s="30" t="s">
        <v>366</v>
      </c>
      <c r="C64" s="30" t="str">
        <f>'MM CALC'!B60</f>
        <v>SEINFRA</v>
      </c>
      <c r="D64" s="30" t="str">
        <f>'MM CALC'!C60</f>
        <v>ED-49871</v>
      </c>
      <c r="E64" s="46" t="str">
        <f>'MM CALC'!D60</f>
        <v>CAIXA DE ESGOTO DE INSPEÇÃO/PASSAGEM EM ALVENARIA (30X30X40CM), REVESTIMENTO EM ARGAMASSA COM ADITIVO IMPERMEABILIZANTE, COM TAMPA DE CONCRETO, INCLUSIVE ESCAVAÇÃO, REATERRO E TRANSPORTE E RETIRADA DO MATERIAL ESCAVADO (EM CAÇAMBA)</v>
      </c>
      <c r="F64" s="30" t="str">
        <f>'MM CALC'!E60</f>
        <v>un</v>
      </c>
      <c r="G64" s="72">
        <f>'MM CALC'!F60</f>
        <v>1</v>
      </c>
      <c r="H64" s="102">
        <v>185.81</v>
      </c>
      <c r="I64" s="31">
        <f t="shared" si="14"/>
        <v>238.75</v>
      </c>
      <c r="J64" s="31">
        <f t="shared" si="15"/>
        <v>238.75</v>
      </c>
      <c r="L64" s="78"/>
      <c r="P64" s="82"/>
    </row>
    <row r="65" spans="2:16" s="227" customFormat="1" ht="28.2" customHeight="1" x14ac:dyDescent="0.25">
      <c r="B65" s="208" t="s">
        <v>367</v>
      </c>
      <c r="C65" s="208" t="str">
        <f>'MM CALC'!B61</f>
        <v>SEINFRA</v>
      </c>
      <c r="D65" s="208" t="str">
        <f>'MM CALC'!C61</f>
        <v>ED-49989</v>
      </c>
      <c r="E65" s="141" t="str">
        <f>'MM CALC'!D61</f>
        <v>REGISTRO DE GAVETA, TIPO BASE, ROSCÁVEL 3/4" (PARA TUBO SOLDÁVEL OU PPR DN 25MM/CPVC DN 22MM), INCLUSIVE ACABAMENTO (PADRÃO MÉDIO) E CANOPLA CROMADO</v>
      </c>
      <c r="F65" s="208" t="str">
        <f>'MM CALC'!E61</f>
        <v>un</v>
      </c>
      <c r="G65" s="225">
        <f>'MM CALC'!F61</f>
        <v>2</v>
      </c>
      <c r="H65" s="226">
        <v>86.62</v>
      </c>
      <c r="I65" s="226">
        <f t="shared" si="14"/>
        <v>111.3</v>
      </c>
      <c r="J65" s="226">
        <f t="shared" si="15"/>
        <v>222.6</v>
      </c>
      <c r="L65" s="228"/>
      <c r="P65" s="229"/>
    </row>
    <row r="66" spans="2:16" s="35" customFormat="1" ht="10.199999999999999" x14ac:dyDescent="0.25">
      <c r="B66" s="53">
        <v>10</v>
      </c>
      <c r="C66" s="30"/>
      <c r="D66" s="53"/>
      <c r="E66" s="47" t="str">
        <f>'MM CALC'!D62</f>
        <v>ÁGUAS PLUVIAIS</v>
      </c>
      <c r="F66" s="53"/>
      <c r="G66" s="89"/>
      <c r="H66" s="34"/>
      <c r="I66" s="34"/>
      <c r="J66" s="196">
        <f>SUM(J67:J70)</f>
        <v>1145.28</v>
      </c>
      <c r="L66" s="79"/>
      <c r="P66" s="83"/>
    </row>
    <row r="67" spans="2:16" s="227" customFormat="1" ht="28.2" customHeight="1" x14ac:dyDescent="0.25">
      <c r="B67" s="208" t="s">
        <v>57</v>
      </c>
      <c r="C67" s="208" t="str">
        <f>'MM CALC'!B63</f>
        <v>SEINFRA</v>
      </c>
      <c r="D67" s="208" t="str">
        <f>'MM CALC'!C63</f>
        <v>ED-50649</v>
      </c>
      <c r="E67" s="141" t="str">
        <f>'MM CALC'!D63</f>
        <v>CALHA EM CHAPA GALVANIZADA, ESP. 0,8MM (GSG-22), COM DESENVOLVIMENTO DE 40CM, INCLUSIVE IÇAMENTO MANUAL VERTICAL</v>
      </c>
      <c r="F67" s="208" t="str">
        <f>'MM CALC'!E63</f>
        <v>m</v>
      </c>
      <c r="G67" s="225">
        <f>'MM CALC'!F63</f>
        <v>1.3499999999999999</v>
      </c>
      <c r="H67" s="226">
        <v>72.25</v>
      </c>
      <c r="I67" s="226">
        <f t="shared" ref="I67:I70" si="16">ROUND((H67*(1+$I$9)),2)</f>
        <v>92.83</v>
      </c>
      <c r="J67" s="226">
        <f t="shared" ref="J67:J70" si="17">ROUND((G67*I67),2)</f>
        <v>125.32</v>
      </c>
      <c r="L67" s="228"/>
      <c r="P67" s="229"/>
    </row>
    <row r="68" spans="2:16" s="227" customFormat="1" ht="28.2" customHeight="1" x14ac:dyDescent="0.25">
      <c r="B68" s="208" t="s">
        <v>58</v>
      </c>
      <c r="C68" s="208" t="str">
        <f>'MM CALC'!B64</f>
        <v>SEINFRA</v>
      </c>
      <c r="D68" s="208" t="str">
        <f>'MM CALC'!C64</f>
        <v>ED-50676</v>
      </c>
      <c r="E68" s="141" t="str">
        <f>'MM CALC'!D64</f>
        <v>RUFO E CONTRARRUFO EM CHAPA GALVANIZADA, ESP. 0,65MM (GSG-24), COM DESENVOLVIMENTO DE 20CM, INCLUSIVE IÇAMENTO MANUAL VERTICAL</v>
      </c>
      <c r="F68" s="208" t="str">
        <f>'MM CALC'!E64</f>
        <v>m</v>
      </c>
      <c r="G68" s="225">
        <f>'MM CALC'!F64</f>
        <v>3.95</v>
      </c>
      <c r="H68" s="226">
        <v>38.630000000000003</v>
      </c>
      <c r="I68" s="226">
        <f t="shared" si="16"/>
        <v>49.64</v>
      </c>
      <c r="J68" s="226">
        <f t="shared" si="17"/>
        <v>196.08</v>
      </c>
      <c r="L68" s="228"/>
      <c r="P68" s="229"/>
    </row>
    <row r="69" spans="2:16" s="227" customFormat="1" ht="28.2" customHeight="1" x14ac:dyDescent="0.25">
      <c r="B69" s="208" t="s">
        <v>137</v>
      </c>
      <c r="C69" s="208" t="str">
        <f>'MM CALC'!B65</f>
        <v>SEINFRA</v>
      </c>
      <c r="D69" s="208" t="str">
        <f>'MM CALC'!C65</f>
        <v>ED-50667</v>
      </c>
      <c r="E69" s="141" t="str">
        <f>'MM CALC'!D65</f>
        <v>CHAPIM EM CHAPA GALVANIZADA, COM PINGADEIRA, ESP. 0,65MM (GSG-24), COM DESENVOLVIMENTO DE 35CM, INCLUSIVE IÇAMENTO MANUAL VERTICAL</v>
      </c>
      <c r="F69" s="208" t="str">
        <f>'MM CALC'!E65</f>
        <v>m</v>
      </c>
      <c r="G69" s="225">
        <f>'MM CALC'!F65</f>
        <v>5.9</v>
      </c>
      <c r="H69" s="226">
        <v>58.34</v>
      </c>
      <c r="I69" s="226">
        <f t="shared" si="16"/>
        <v>74.959999999999994</v>
      </c>
      <c r="J69" s="226">
        <f t="shared" si="17"/>
        <v>442.26</v>
      </c>
      <c r="L69" s="228"/>
      <c r="P69" s="229"/>
    </row>
    <row r="70" spans="2:16" s="227" customFormat="1" ht="28.2" customHeight="1" x14ac:dyDescent="0.25">
      <c r="B70" s="208" t="s">
        <v>140</v>
      </c>
      <c r="C70" s="208" t="str">
        <f>'MM CALC'!B66</f>
        <v>SEINFRA</v>
      </c>
      <c r="D70" s="208" t="str">
        <f>'MM CALC'!C66</f>
        <v>ED-50668</v>
      </c>
      <c r="E70" s="141" t="str">
        <f>'MM CALC'!D66</f>
        <v>CONDUTOR CIRCULAR DE ÁGUA PLUVIAL PARA DO TELHADO EM TUBO DE PVC, DIÂMETRO DE 100MM, INCLUSIVE CONEXÕES E SUPORTES</v>
      </c>
      <c r="F70" s="208" t="str">
        <f>'MM CALC'!E66</f>
        <v>m</v>
      </c>
      <c r="G70" s="225">
        <f>'MM CALC'!F66</f>
        <v>3.7</v>
      </c>
      <c r="H70" s="226">
        <v>80.27</v>
      </c>
      <c r="I70" s="226">
        <f t="shared" si="16"/>
        <v>103.14</v>
      </c>
      <c r="J70" s="226">
        <f t="shared" si="17"/>
        <v>381.62</v>
      </c>
      <c r="L70" s="228"/>
      <c r="P70" s="229"/>
    </row>
    <row r="71" spans="2:16" s="35" customFormat="1" ht="10.199999999999999" x14ac:dyDescent="0.25">
      <c r="B71" s="53">
        <v>11</v>
      </c>
      <c r="C71" s="30"/>
      <c r="D71" s="53"/>
      <c r="E71" s="47" t="str">
        <f>'MM CALC'!D67</f>
        <v>INSTALAÇÕES ELÉTRICAS</v>
      </c>
      <c r="F71" s="53"/>
      <c r="G71" s="89"/>
      <c r="H71" s="34"/>
      <c r="I71" s="34"/>
      <c r="J71" s="196">
        <f>SUM(J72:J79)</f>
        <v>5787.73</v>
      </c>
      <c r="L71" s="79"/>
      <c r="P71" s="83"/>
    </row>
    <row r="72" spans="2:16" s="32" customFormat="1" ht="40.5" customHeight="1" x14ac:dyDescent="0.25">
      <c r="B72" s="30" t="s">
        <v>61</v>
      </c>
      <c r="C72" s="30" t="str">
        <f>'MM CALC'!B68</f>
        <v>SEINFRA</v>
      </c>
      <c r="D72" s="30" t="str">
        <f>'MM CALC'!C68</f>
        <v>ED-20580</v>
      </c>
      <c r="E72" s="46" t="str">
        <f>'MM CALC'!D68</f>
        <v>ENTRADA DE ENERGIA AÉREA, TIPO B2, PADRÃO CEMIG, CARGA INSTALADA DE 10,1KW ATÉ 15KW, BIFÁSICO, COM SAÍDA SUBTERRÂNEA, INCLUSIVE POSTE, CAIXA PARA MEDIDOR, DISJUNTOR, BARRAMENTO, ATERRAMENTO E ACESSÓRIOS</v>
      </c>
      <c r="F72" s="30" t="str">
        <f>'MM CALC'!E68</f>
        <v>un</v>
      </c>
      <c r="G72" s="72">
        <f>'MM CALC'!F68</f>
        <v>1</v>
      </c>
      <c r="H72" s="102">
        <v>2956.49</v>
      </c>
      <c r="I72" s="31">
        <f t="shared" ref="I72:I79" si="18">ROUND((H72*(1+$I$9)),2)</f>
        <v>3798.79</v>
      </c>
      <c r="J72" s="31">
        <f t="shared" ref="J72:J79" si="19">ROUND((G72*I72),2)</f>
        <v>3798.79</v>
      </c>
      <c r="L72" s="78"/>
      <c r="P72" s="82"/>
    </row>
    <row r="73" spans="2:16" s="32" customFormat="1" ht="25.05" customHeight="1" x14ac:dyDescent="0.25">
      <c r="B73" s="30" t="s">
        <v>62</v>
      </c>
      <c r="C73" s="30" t="str">
        <f>'MM CALC'!B69</f>
        <v>SEINFRA</v>
      </c>
      <c r="D73" s="30" t="str">
        <f>'MM CALC'!C69</f>
        <v>ED-49498</v>
      </c>
      <c r="E73" s="46" t="str">
        <f>'MM CALC'!D69</f>
        <v>QUADRO DE DISTRIBUIÇÃO PARA 8 MÓDULOS COM BARRAMENTO E CHAVE</v>
      </c>
      <c r="F73" s="30" t="str">
        <f>'MM CALC'!E69</f>
        <v>un</v>
      </c>
      <c r="G73" s="72">
        <f>'MM CALC'!F69</f>
        <v>1</v>
      </c>
      <c r="H73" s="31">
        <v>154.08000000000001</v>
      </c>
      <c r="I73" s="31">
        <f t="shared" si="18"/>
        <v>197.98</v>
      </c>
      <c r="J73" s="31">
        <f t="shared" si="19"/>
        <v>197.98</v>
      </c>
      <c r="L73" s="78"/>
      <c r="P73" s="82"/>
    </row>
    <row r="74" spans="2:16" s="227" customFormat="1" ht="28.2" customHeight="1" x14ac:dyDescent="0.25">
      <c r="B74" s="208" t="s">
        <v>63</v>
      </c>
      <c r="C74" s="208" t="str">
        <f>'MM CALC'!B70</f>
        <v>SEINFRA</v>
      </c>
      <c r="D74" s="208" t="str">
        <f>'MM CALC'!C70</f>
        <v xml:space="preserve">ED-34461 </v>
      </c>
      <c r="E74" s="141" t="str">
        <f>'MM CALC'!D70</f>
        <v>DISJUNTOR MONOPOLAR TIPO DIN, CORRENTE NOMINAL DE 16A, FORNECIMENTO E INSTALAÇÃO, INCLUSIVE TERMINAL ILHÓS</v>
      </c>
      <c r="F74" s="208" t="str">
        <f>'MM CALC'!E70</f>
        <v>un</v>
      </c>
      <c r="G74" s="225">
        <f>'MM CALC'!F70</f>
        <v>1</v>
      </c>
      <c r="H74" s="226">
        <v>13.37</v>
      </c>
      <c r="I74" s="226">
        <f t="shared" si="18"/>
        <v>17.18</v>
      </c>
      <c r="J74" s="226">
        <f t="shared" si="19"/>
        <v>17.18</v>
      </c>
      <c r="L74" s="228"/>
      <c r="P74" s="229"/>
    </row>
    <row r="75" spans="2:16" s="227" customFormat="1" ht="28.2" customHeight="1" x14ac:dyDescent="0.25">
      <c r="B75" s="208" t="s">
        <v>64</v>
      </c>
      <c r="C75" s="208" t="str">
        <f>'MM CALC'!B71</f>
        <v>SEINFRA</v>
      </c>
      <c r="D75" s="208" t="str">
        <f>'MM CALC'!C71</f>
        <v xml:space="preserve">ED-34463 </v>
      </c>
      <c r="E75" s="141" t="str">
        <f>'MM CALC'!D71</f>
        <v>DISJUNTOR MONOPOLAR TIPO DIN, CORRENTE NOMINAL DE 25A, FORNECIMENTO E INSTALAÇÃO, INCLUSIVE TERMINAL ILHÓS</v>
      </c>
      <c r="F75" s="208" t="str">
        <f>'MM CALC'!E71</f>
        <v>un</v>
      </c>
      <c r="G75" s="225">
        <f>'MM CALC'!F71</f>
        <v>1</v>
      </c>
      <c r="H75" s="226">
        <v>13.45</v>
      </c>
      <c r="I75" s="226">
        <f t="shared" si="18"/>
        <v>17.28</v>
      </c>
      <c r="J75" s="226">
        <f t="shared" si="19"/>
        <v>17.28</v>
      </c>
      <c r="L75" s="228"/>
      <c r="P75" s="229"/>
    </row>
    <row r="76" spans="2:16" s="32" customFormat="1" ht="57" customHeight="1" x14ac:dyDescent="0.25">
      <c r="B76" s="30" t="s">
        <v>379</v>
      </c>
      <c r="C76" s="30" t="str">
        <f>'MM CALC'!B72</f>
        <v>SEINFRA</v>
      </c>
      <c r="D76" s="30" t="str">
        <f>'MM CALC'!C72</f>
        <v>ED-50228</v>
      </c>
      <c r="E76" s="46" t="str">
        <f>'MM CALC'!D72</f>
        <v>PONTO DE EMBUTIR PARA UMA (1) LUMINÁRIA,COM ELETRODUTO DE PVC RÍGIDO ROSCÁVEL, DN 20MM (3/4"), EMBUTIDO NA LAJE E CABO DE COBRE FLEXÍVEL, CLASSE 5, ISOLAMENTO TIPO LSHF/ATOX, NÃO HALOGENADO, SEÇÃO 1,5MM2 (70°C-450/750V), COM DISTÂNCIA DE ATÉ CINCO (5) METROS DO PONTO DE DERIVAÇÃO, EXCLUSIVE LUMINÁRIA, INCLUSIVE CAIXA DE LIGAÇÃO OCTOGONAL, SUPORTE E FIXAÇÃO DO ELETRODUTO</v>
      </c>
      <c r="F76" s="30" t="str">
        <f>'MM CALC'!E72</f>
        <v>un</v>
      </c>
      <c r="G76" s="72">
        <f>'MM CALC'!F72</f>
        <v>2</v>
      </c>
      <c r="H76" s="102">
        <v>138.58000000000001</v>
      </c>
      <c r="I76" s="31">
        <f t="shared" si="18"/>
        <v>178.06</v>
      </c>
      <c r="J76" s="31">
        <f t="shared" si="19"/>
        <v>356.12</v>
      </c>
      <c r="L76" s="78"/>
      <c r="P76" s="82"/>
    </row>
    <row r="77" spans="2:16" s="32" customFormat="1" ht="67.5" customHeight="1" x14ac:dyDescent="0.25">
      <c r="B77" s="30" t="s">
        <v>380</v>
      </c>
      <c r="C77" s="30" t="str">
        <f>'MM CALC'!B73</f>
        <v>SEINFRA</v>
      </c>
      <c r="D77" s="30" t="str">
        <f>'MM CALC'!C73</f>
        <v>ED-50227</v>
      </c>
      <c r="E77" s="46" t="str">
        <f>'MM CALC'!D73</f>
        <v>PONTO DE EMBUTIR PARA UM (1) INTERRUPTOR SIMPLES (10A-250V), COM PLACA 4"X2" DE UM (1) POSTO, COM ELETRODUTO FLEXÍVEL CORRUGADO, ANTI-CHAMA, DN 25MM (3/4"), EMBUTIDO NA ALVENARIA E CABO DE COBRE FLEXÍVEL, CLASSE 5, ISOLAMENTO TIPO LSHF/ATOX, NÃO HALOGENADO, SEÇÃO 1,5MM2 (70°C-450/750V), COM DISTÂNCIA DE ATÉ DEZ (10) METROS DO PONTO DE DERIVAÇÃO, INCLUSIVE CAIXA DE LIGAÇÃO, SUPORTE E FIXAÇÃO DO ELETRODUTO COM ENCHIMENTO DO RASGO NA ALVENARIA/CONCRETO COM ARGAMASSA</v>
      </c>
      <c r="F77" s="30" t="str">
        <f>'MM CALC'!E73</f>
        <v>un</v>
      </c>
      <c r="G77" s="72">
        <f>'MM CALC'!F73</f>
        <v>2</v>
      </c>
      <c r="H77" s="102">
        <v>227.02</v>
      </c>
      <c r="I77" s="31">
        <f t="shared" si="18"/>
        <v>291.7</v>
      </c>
      <c r="J77" s="31">
        <f t="shared" si="19"/>
        <v>583.4</v>
      </c>
      <c r="L77" s="78"/>
      <c r="P77" s="82"/>
    </row>
    <row r="78" spans="2:16" s="32" customFormat="1" ht="72" customHeight="1" x14ac:dyDescent="0.25">
      <c r="B78" s="30" t="s">
        <v>381</v>
      </c>
      <c r="C78" s="30" t="str">
        <f>'MM CALC'!B74</f>
        <v>SEINFRA</v>
      </c>
      <c r="D78" s="30" t="str">
        <f>'MM CALC'!C74</f>
        <v>ED-50232</v>
      </c>
      <c r="E78" s="46" t="str">
        <f>'MM CALC'!D74</f>
        <v>PONTO DE EMBUTIR PARA UMA (1) TOMADA PADRÃO, TRÊS (3) POLOS (2P+T/10A-250V),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v>
      </c>
      <c r="F78" s="30" t="str">
        <f>'MM CALC'!E74</f>
        <v>un</v>
      </c>
      <c r="G78" s="72">
        <f>'MM CALC'!F74</f>
        <v>2</v>
      </c>
      <c r="H78" s="102">
        <v>258.69</v>
      </c>
      <c r="I78" s="31">
        <f t="shared" si="18"/>
        <v>332.39</v>
      </c>
      <c r="J78" s="31">
        <f t="shared" si="19"/>
        <v>664.78</v>
      </c>
      <c r="L78" s="78"/>
      <c r="P78" s="82"/>
    </row>
    <row r="79" spans="2:16" s="227" customFormat="1" ht="28.2" customHeight="1" x14ac:dyDescent="0.25">
      <c r="B79" s="208" t="s">
        <v>382</v>
      </c>
      <c r="C79" s="208" t="str">
        <f>'MM CALC'!B75</f>
        <v>SEINFRA</v>
      </c>
      <c r="D79" s="208" t="str">
        <f>'MM CALC'!C75</f>
        <v xml:space="preserve">ED-13357 </v>
      </c>
      <c r="E79" s="141" t="str">
        <f>'MM CALC'!D75</f>
        <v>LUMINÁRIA PLAFON REDONDO DE VIDRO JATEADO REDONDO COMPLETA, DIÂMETRO 25 CM, PARA UMA (1) LÂMPADA LED, POTÊNCIA 15W, BULBO A65, FORNECIMENTO E INSTALAÇÃO, INCLUSIVE BASE E LÂMPADA</v>
      </c>
      <c r="F79" s="208" t="str">
        <f>'MM CALC'!E75</f>
        <v>un</v>
      </c>
      <c r="G79" s="225">
        <f>'MM CALC'!F75</f>
        <v>2</v>
      </c>
      <c r="H79" s="226">
        <v>59.23</v>
      </c>
      <c r="I79" s="226">
        <f t="shared" si="18"/>
        <v>76.099999999999994</v>
      </c>
      <c r="J79" s="226">
        <f t="shared" si="19"/>
        <v>152.19999999999999</v>
      </c>
      <c r="L79" s="228"/>
      <c r="P79" s="229"/>
    </row>
    <row r="80" spans="2:16" s="35" customFormat="1" ht="10.199999999999999" x14ac:dyDescent="0.25">
      <c r="B80" s="53">
        <f>'MM CALC'!A76</f>
        <v>12</v>
      </c>
      <c r="C80" s="53"/>
      <c r="D80" s="147"/>
      <c r="E80" s="47" t="str">
        <f>'MM CALC'!D76</f>
        <v>ESQUADRIAS</v>
      </c>
      <c r="F80" s="147"/>
      <c r="G80" s="72"/>
      <c r="H80" s="124"/>
      <c r="I80" s="34"/>
      <c r="J80" s="196">
        <f>SUM(J81:J83)</f>
        <v>3443.66</v>
      </c>
      <c r="L80" s="79"/>
      <c r="P80" s="83"/>
    </row>
    <row r="81" spans="2:16" s="227" customFormat="1" ht="28.2" customHeight="1" x14ac:dyDescent="0.25">
      <c r="B81" s="208" t="str">
        <f>'MM CALC'!A77</f>
        <v>12.1</v>
      </c>
      <c r="C81" s="208" t="str">
        <f>'MM CALC'!B77</f>
        <v>SEINFRA</v>
      </c>
      <c r="D81" s="208" t="str">
        <f>'MM CALC'!C77</f>
        <v>ED-50975</v>
      </c>
      <c r="E81" s="141" t="str">
        <f>'MM CALC'!D77</f>
        <v>PORTA METÁLICA EM CHAPA DOBRADA, DIMENSÃO (90X210)CM, TIPO DE ABRIR, UMA (1) FOLHA, INCLUSIVE ESTRUTURA, DOBRADIÇA E MARCO, EXCLUSIVE FECHADURA E PINTURA</v>
      </c>
      <c r="F81" s="208" t="str">
        <f>'MM CALC'!E77</f>
        <v>un</v>
      </c>
      <c r="G81" s="225">
        <f>'MM CALC'!F77</f>
        <v>2</v>
      </c>
      <c r="H81" s="226">
        <v>615.45000000000005</v>
      </c>
      <c r="I81" s="226">
        <f t="shared" ref="I81:I83" si="20">ROUND((H81*(1+$I$9)),2)</f>
        <v>790.79</v>
      </c>
      <c r="J81" s="226">
        <f t="shared" ref="J81:J83" si="21">ROUND((G81*I81),2)</f>
        <v>1581.58</v>
      </c>
      <c r="L81" s="228"/>
      <c r="P81" s="229"/>
    </row>
    <row r="82" spans="2:16" s="227" customFormat="1" ht="28.2" customHeight="1" x14ac:dyDescent="0.25">
      <c r="B82" s="208" t="str">
        <f>'MM CALC'!A78</f>
        <v>12.2</v>
      </c>
      <c r="C82" s="208" t="str">
        <f>'MM CALC'!B78</f>
        <v>SEINFRA</v>
      </c>
      <c r="D82" s="208" t="str">
        <f>'MM CALC'!C78</f>
        <v>ED-50954</v>
      </c>
      <c r="E82" s="141" t="str">
        <f>'MM CALC'!D78</f>
        <v>FORNECIMENTO DE JANELA BASCULANTE DE FERRO, INCLUSIVE ASSENTAMENTO, FERRAGENS E ACESSÓRIOS</v>
      </c>
      <c r="F82" s="208" t="str">
        <f>'MM CALC'!E78</f>
        <v>m2</v>
      </c>
      <c r="G82" s="225">
        <f>'MM CALC'!F78</f>
        <v>1.44</v>
      </c>
      <c r="H82" s="226">
        <v>459.68</v>
      </c>
      <c r="I82" s="226">
        <f t="shared" si="20"/>
        <v>590.64</v>
      </c>
      <c r="J82" s="226">
        <f t="shared" si="21"/>
        <v>850.52</v>
      </c>
      <c r="L82" s="228"/>
      <c r="P82" s="229"/>
    </row>
    <row r="83" spans="2:16" s="227" customFormat="1" ht="28.2" customHeight="1" x14ac:dyDescent="0.25">
      <c r="B83" s="208" t="str">
        <f>'MM CALC'!A79</f>
        <v>12.3</v>
      </c>
      <c r="C83" s="208" t="str">
        <f>'MM CALC'!B79</f>
        <v>SEINFRA</v>
      </c>
      <c r="D83" s="208" t="str">
        <f>'MM CALC'!C79</f>
        <v>ED-50951</v>
      </c>
      <c r="E83" s="141" t="str">
        <f>'MM CALC'!D79</f>
        <v>FORNECIMENTO DE GRADE FIXA DE FERRO, PARA PROTEÇÃO DE JANELA, INCLUSIVE ASSENTAMENTO E ACESSÓRIOS</v>
      </c>
      <c r="F83" s="208" t="str">
        <f>'MM CALC'!E79</f>
        <v>m2</v>
      </c>
      <c r="G83" s="225">
        <f>'MM CALC'!F79</f>
        <v>2.2399999999999998</v>
      </c>
      <c r="H83" s="226">
        <v>351.46</v>
      </c>
      <c r="I83" s="226">
        <f t="shared" si="20"/>
        <v>451.59</v>
      </c>
      <c r="J83" s="226">
        <f t="shared" si="21"/>
        <v>1011.56</v>
      </c>
      <c r="L83" s="228"/>
      <c r="P83" s="229"/>
    </row>
    <row r="84" spans="2:16" s="35" customFormat="1" ht="10.199999999999999" x14ac:dyDescent="0.25">
      <c r="B84" s="53">
        <v>13</v>
      </c>
      <c r="C84" s="53"/>
      <c r="D84" s="147"/>
      <c r="E84" s="47" t="str">
        <f>'MM CALC'!D80</f>
        <v>REVESTIMENTOS</v>
      </c>
      <c r="F84" s="147"/>
      <c r="G84" s="72"/>
      <c r="H84" s="124"/>
      <c r="I84" s="34"/>
      <c r="J84" s="196">
        <f>SUM(J85:J90)</f>
        <v>6211.95</v>
      </c>
      <c r="L84" s="79"/>
      <c r="P84" s="83"/>
    </row>
    <row r="85" spans="2:16" s="227" customFormat="1" ht="28.2" customHeight="1" x14ac:dyDescent="0.25">
      <c r="B85" s="208" t="s">
        <v>72</v>
      </c>
      <c r="C85" s="208" t="str">
        <f>'MM CALC'!B81</f>
        <v>SEINFRA</v>
      </c>
      <c r="D85" s="208" t="str">
        <f>'MM CALC'!C81</f>
        <v>ED-50727</v>
      </c>
      <c r="E85" s="141" t="str">
        <f>'MM CALC'!D81</f>
        <v>CHAPISCO COM ARGAMASSA, TRAÇO 1:3 (CIMENTO E AREIA), ESP. 5MM, APLICADO EM ALVENARIA/ESTRUTURA DE CONCRETO COM COLHER, INCLUSIVE ARGAMASSA COM PREPARO MECANIZADO</v>
      </c>
      <c r="F85" s="208" t="str">
        <f>'MM CALC'!E81</f>
        <v>m2</v>
      </c>
      <c r="G85" s="225">
        <f>'MM CALC'!F81</f>
        <v>72.539999999999992</v>
      </c>
      <c r="H85" s="226">
        <v>8.6999999999999993</v>
      </c>
      <c r="I85" s="226">
        <f t="shared" ref="I85:I90" si="22">ROUND((H85*(1+$I$9)),2)</f>
        <v>11.18</v>
      </c>
      <c r="J85" s="226">
        <f t="shared" ref="J85:J90" si="23">ROUND((G85*I85),2)</f>
        <v>811</v>
      </c>
      <c r="L85" s="228"/>
      <c r="P85" s="229"/>
    </row>
    <row r="86" spans="2:16" s="227" customFormat="1" ht="28.2" customHeight="1" x14ac:dyDescent="0.25">
      <c r="B86" s="208" t="s">
        <v>73</v>
      </c>
      <c r="C86" s="208" t="str">
        <f>'MM CALC'!B82</f>
        <v>SEINFRA</v>
      </c>
      <c r="D86" s="208" t="str">
        <f>'MM CALC'!C82</f>
        <v>ED-50728</v>
      </c>
      <c r="E86" s="141" t="str">
        <f>'MM CALC'!D82</f>
        <v>CHAPISCO COM ARGAMASSA, TRAÇO 1:3 (CIMENTO E AREIA), ESP. 5MM, APLICADO EM TETO COM COLHER, INCLUSIVE ARGAMASSA COM PREPARO MECANIZADO</v>
      </c>
      <c r="F86" s="208" t="str">
        <f>'MM CALC'!E82</f>
        <v>m2</v>
      </c>
      <c r="G86" s="225">
        <f>'MM CALC'!F82</f>
        <v>5.44</v>
      </c>
      <c r="H86" s="226">
        <v>11.89</v>
      </c>
      <c r="I86" s="226">
        <f t="shared" si="22"/>
        <v>15.28</v>
      </c>
      <c r="J86" s="226">
        <f t="shared" si="23"/>
        <v>83.12</v>
      </c>
      <c r="L86" s="228"/>
      <c r="P86" s="229"/>
    </row>
    <row r="87" spans="2:16" s="227" customFormat="1" ht="28.2" customHeight="1" x14ac:dyDescent="0.25">
      <c r="B87" s="208" t="s">
        <v>150</v>
      </c>
      <c r="C87" s="208" t="str">
        <f>'MM CALC'!B83</f>
        <v>SEINFRA</v>
      </c>
      <c r="D87" s="208" t="str">
        <f>'MM CALC'!C83</f>
        <v>ED-50762</v>
      </c>
      <c r="E87" s="141" t="str">
        <f>'MM CALC'!D83</f>
        <v>REVESTIMENTO COM ARGAMASSA EM CAMADA ÚNICA, APLICADO EM PAREDE, TRAÇO 1:3 (CIMENTO E AREIA), ESP. 20MM, APLICAÇÃO MANUAL, INCLUSIVE ARGAMASSA COM PREPARO MECANIZADO, EXCLUSIVE CHAPISCO</v>
      </c>
      <c r="F87" s="208" t="str">
        <f>'MM CALC'!E83</f>
        <v>m2</v>
      </c>
      <c r="G87" s="225">
        <f>'MM CALC'!F83</f>
        <v>72.539999999999992</v>
      </c>
      <c r="H87" s="226">
        <v>29.58</v>
      </c>
      <c r="I87" s="226">
        <f t="shared" si="22"/>
        <v>38.01</v>
      </c>
      <c r="J87" s="226">
        <f t="shared" si="23"/>
        <v>2757.25</v>
      </c>
      <c r="L87" s="228"/>
      <c r="P87" s="229"/>
    </row>
    <row r="88" spans="2:16" s="227" customFormat="1" ht="28.2" customHeight="1" x14ac:dyDescent="0.25">
      <c r="B88" s="208" t="s">
        <v>390</v>
      </c>
      <c r="C88" s="208" t="str">
        <f>'MM CALC'!B84</f>
        <v>SEINFRA</v>
      </c>
      <c r="D88" s="208" t="str">
        <f>'MM CALC'!C84</f>
        <v>ED-50763</v>
      </c>
      <c r="E88" s="141" t="str">
        <f>'MM CALC'!D84</f>
        <v>REVESTIMENTO COM ARGAMASSA EM CAMADA ÚNICA, APLICADOEM TETO, TRAÇO 1:3 (CIMENTO E AREIA), ESP. 20MM, APLICAÇÃO MANUAL, INCLUSIVE ARGAMASSA COM PREPARO MECANIZADO, EXCLUSIVE CHAPISCO</v>
      </c>
      <c r="F88" s="208" t="str">
        <f>'MM CALC'!E84</f>
        <v>m2</v>
      </c>
      <c r="G88" s="225">
        <f>'MM CALC'!F84</f>
        <v>5.44</v>
      </c>
      <c r="H88" s="226">
        <v>31.45</v>
      </c>
      <c r="I88" s="226">
        <f t="shared" si="22"/>
        <v>40.409999999999997</v>
      </c>
      <c r="J88" s="226">
        <f t="shared" si="23"/>
        <v>219.83</v>
      </c>
      <c r="L88" s="228"/>
      <c r="P88" s="229"/>
    </row>
    <row r="89" spans="2:16" s="32" customFormat="1" ht="40.5" customHeight="1" x14ac:dyDescent="0.25">
      <c r="B89" s="30" t="s">
        <v>391</v>
      </c>
      <c r="C89" s="30" t="str">
        <f>'MM CALC'!B85</f>
        <v>SEINFRA</v>
      </c>
      <c r="D89" s="30" t="str">
        <f>'MM CALC'!C85</f>
        <v>ED-9081</v>
      </c>
      <c r="E89" s="46" t="str">
        <f>'MM CALC'!D85</f>
        <v>REVESTIMENTO COM CERÂMICA APLICADO EM PAREDE, ACABAMENTO ESMALTADO, AMBIENTE INTERNO/EXTERNO, PADRÃO EXTRA, DIMENSÃO DA PEÇA ATÉ 2025 CM2, PEI III, ASSENTAMENTO COM ARGAMASSA INDUSTRIALIZADA, INCLUSIVE REJUNTAMENTO</v>
      </c>
      <c r="F89" s="30" t="str">
        <f>'MM CALC'!E85</f>
        <v>m2</v>
      </c>
      <c r="G89" s="72">
        <f>'MM CALC'!F85</f>
        <v>23.759999999999998</v>
      </c>
      <c r="H89" s="102">
        <v>71.83</v>
      </c>
      <c r="I89" s="31">
        <f t="shared" si="22"/>
        <v>92.29</v>
      </c>
      <c r="J89" s="31">
        <f t="shared" si="23"/>
        <v>2192.81</v>
      </c>
      <c r="L89" s="78"/>
      <c r="P89" s="82"/>
    </row>
    <row r="90" spans="2:16" s="32" customFormat="1" ht="25.05" customHeight="1" x14ac:dyDescent="0.25">
      <c r="B90" s="30" t="s">
        <v>392</v>
      </c>
      <c r="C90" s="30" t="str">
        <f>'MM CALC'!B86</f>
        <v>SEINFRA</v>
      </c>
      <c r="D90" s="30" t="str">
        <f>'MM CALC'!C86</f>
        <v>ED-50998</v>
      </c>
      <c r="E90" s="46" t="str">
        <f>'MM CALC'!D86</f>
        <v>PEITORIL DE GRANITO CINZA ANDORINHA E = 3 CM</v>
      </c>
      <c r="F90" s="30" t="str">
        <f>'MM CALC'!E86</f>
        <v>m2</v>
      </c>
      <c r="G90" s="72">
        <f>'MM CALC'!F86</f>
        <v>0.36</v>
      </c>
      <c r="H90" s="31">
        <v>319.83</v>
      </c>
      <c r="I90" s="31">
        <f t="shared" si="22"/>
        <v>410.95</v>
      </c>
      <c r="J90" s="31">
        <f t="shared" si="23"/>
        <v>147.94</v>
      </c>
      <c r="L90" s="78"/>
      <c r="P90" s="82"/>
    </row>
    <row r="91" spans="2:16" s="35" customFormat="1" ht="10.199999999999999" x14ac:dyDescent="0.25">
      <c r="B91" s="53">
        <v>14</v>
      </c>
      <c r="C91" s="53"/>
      <c r="D91" s="147"/>
      <c r="E91" s="47" t="str">
        <f>'MM CALC'!D87</f>
        <v>VIDRO E ESPELHOS</v>
      </c>
      <c r="F91" s="147"/>
      <c r="G91" s="72"/>
      <c r="H91" s="124"/>
      <c r="I91" s="31"/>
      <c r="J91" s="196">
        <f>SUM(J92:J93)</f>
        <v>950.13999999999987</v>
      </c>
      <c r="L91" s="79"/>
      <c r="P91" s="83"/>
    </row>
    <row r="92" spans="2:16" s="227" customFormat="1" ht="28.2" customHeight="1" x14ac:dyDescent="0.25">
      <c r="B92" s="208" t="s">
        <v>75</v>
      </c>
      <c r="C92" s="208" t="str">
        <f>'MM CALC'!B88</f>
        <v>SEINFRA</v>
      </c>
      <c r="D92" s="208" t="str">
        <f>'MM CALC'!C88</f>
        <v>ED-29731</v>
      </c>
      <c r="E92" s="141" t="str">
        <f>'MM CALC'!D88</f>
        <v>VIDRO IMPRESSO (FANTASIA) TRANSLÚCIDO INCOLOR, ESP. 4MM, INCLUSIVE FIXAÇÃO E VEDAÇÃO COM GUARNIÇÃO/GAXETA DE BORRACHA NEOPRENE, FORNECIMENTO E INSTALAÇÃO, EXCLUSIVE CAIXILHO/PERFIL</v>
      </c>
      <c r="F92" s="208" t="str">
        <f>'MM CALC'!E88</f>
        <v>m2</v>
      </c>
      <c r="G92" s="225">
        <f>'MM CALC'!F88</f>
        <v>1.44</v>
      </c>
      <c r="H92" s="226">
        <v>189.95</v>
      </c>
      <c r="I92" s="226">
        <f t="shared" ref="I92:I93" si="24">ROUND((H92*(1+$I$9)),2)</f>
        <v>244.07</v>
      </c>
      <c r="J92" s="226">
        <f t="shared" ref="J92:J93" si="25">ROUND((G92*I92),2)</f>
        <v>351.46</v>
      </c>
      <c r="L92" s="228"/>
      <c r="P92" s="229"/>
    </row>
    <row r="93" spans="2:16" s="227" customFormat="1" ht="28.2" customHeight="1" x14ac:dyDescent="0.25">
      <c r="B93" s="208" t="s">
        <v>151</v>
      </c>
      <c r="C93" s="208" t="str">
        <f>'MM CALC'!B89</f>
        <v>SEINFRA</v>
      </c>
      <c r="D93" s="208" t="str">
        <f>'MM CALC'!C89</f>
        <v>ED-51150</v>
      </c>
      <c r="E93" s="141" t="str">
        <f>'MM CALC'!D89</f>
        <v>ESPELHO CRISTAL, DIMENSÃO (60X90)CM, COM ESP. 4MM, EM ACABAMENTO LAPIDADO, INCLUSIVE FIXAÇÃO COM PARAFUSO TIPO  FINESSON, FORNECIMENTO E INSTALAÇÃO</v>
      </c>
      <c r="F93" s="208" t="str">
        <f>'MM CALC'!E89</f>
        <v>un</v>
      </c>
      <c r="G93" s="225">
        <f>'MM CALC'!F89</f>
        <v>2</v>
      </c>
      <c r="H93" s="226">
        <v>232.97</v>
      </c>
      <c r="I93" s="226">
        <f t="shared" si="24"/>
        <v>299.33999999999997</v>
      </c>
      <c r="J93" s="226">
        <f t="shared" si="25"/>
        <v>598.67999999999995</v>
      </c>
      <c r="L93" s="228"/>
      <c r="P93" s="229"/>
    </row>
    <row r="94" spans="2:16" s="35" customFormat="1" ht="10.199999999999999" x14ac:dyDescent="0.25">
      <c r="B94" s="53">
        <v>15</v>
      </c>
      <c r="C94" s="30"/>
      <c r="D94" s="146"/>
      <c r="E94" s="47" t="str">
        <f>'MM CALC'!D90</f>
        <v>PINTURA</v>
      </c>
      <c r="F94" s="146"/>
      <c r="G94" s="72"/>
      <c r="H94" s="124"/>
      <c r="I94" s="34"/>
      <c r="J94" s="196">
        <f>SUM(J95:J103)</f>
        <v>3744.12</v>
      </c>
      <c r="L94" s="79"/>
      <c r="P94" s="83"/>
    </row>
    <row r="95" spans="2:16" s="32" customFormat="1" ht="25.05" customHeight="1" x14ac:dyDescent="0.25">
      <c r="B95" s="30" t="s">
        <v>77</v>
      </c>
      <c r="C95" s="30" t="str">
        <f>'MM CALC'!B91</f>
        <v>SEINFRA</v>
      </c>
      <c r="D95" s="30" t="str">
        <f>'MM CALC'!C91</f>
        <v>ED-9935</v>
      </c>
      <c r="E95" s="46" t="str">
        <f>'MM CALC'!D91</f>
        <v>PREPARAÇÃO PARA PINTURA (EPÓXI) EM PISO, INCLUSIVE UMA (1) DEMÃO DE PRIMER EPÓXI</v>
      </c>
      <c r="F95" s="30" t="str">
        <f>'MM CALC'!E91</f>
        <v>m2</v>
      </c>
      <c r="G95" s="72">
        <f>'MM CALC'!F91</f>
        <v>5.4749999999999996</v>
      </c>
      <c r="H95" s="31">
        <v>26.31</v>
      </c>
      <c r="I95" s="31">
        <f t="shared" ref="I95:I103" si="26">ROUND((H95*(1+$I$9)),2)</f>
        <v>33.81</v>
      </c>
      <c r="J95" s="31">
        <f t="shared" ref="J95:J103" si="27">ROUND((G95*I95),2)</f>
        <v>185.11</v>
      </c>
      <c r="L95" s="78"/>
      <c r="P95" s="82"/>
    </row>
    <row r="96" spans="2:16" s="32" customFormat="1" ht="25.05" customHeight="1" x14ac:dyDescent="0.25">
      <c r="B96" s="30" t="s">
        <v>135</v>
      </c>
      <c r="C96" s="30" t="str">
        <f>'MM CALC'!B92</f>
        <v>SEINFRA</v>
      </c>
      <c r="D96" s="30" t="str">
        <f>'MM CALC'!C92</f>
        <v>ED-9934</v>
      </c>
      <c r="E96" s="46" t="str">
        <f>'MM CALC'!D92</f>
        <v>PINTURA EPÓXI EM PISO, DUAS (2) DEMÃOS, INCLUSIVE UMA (1) DEMÃO DE PRIMER EPÓXI</v>
      </c>
      <c r="F96" s="30" t="str">
        <f>'MM CALC'!E92</f>
        <v>m2</v>
      </c>
      <c r="G96" s="72">
        <f>'MM CALC'!F92</f>
        <v>5.4749999999999996</v>
      </c>
      <c r="H96" s="31">
        <v>50.93</v>
      </c>
      <c r="I96" s="31">
        <f t="shared" si="26"/>
        <v>65.44</v>
      </c>
      <c r="J96" s="31">
        <f t="shared" si="27"/>
        <v>358.28</v>
      </c>
      <c r="L96" s="78"/>
      <c r="P96" s="82"/>
    </row>
    <row r="97" spans="2:16" s="227" customFormat="1" ht="28.2" customHeight="1" x14ac:dyDescent="0.25">
      <c r="B97" s="208" t="s">
        <v>397</v>
      </c>
      <c r="C97" s="208" t="str">
        <f>'MM CALC'!B93</f>
        <v>SEINFRA</v>
      </c>
      <c r="D97" s="208" t="str">
        <f>'MM CALC'!C93</f>
        <v>ED-50514</v>
      </c>
      <c r="E97" s="141" t="str">
        <f>'MM CALC'!D93</f>
        <v>PREPARAÇÃO PARA EMASSAMENTO OU PINTURA (LÁTEX/ACRÍLICA) EM PAREDE, INCLUSIVE UMA (1) DEMÃO DE SELADOR ACRÍLICO</v>
      </c>
      <c r="F97" s="208" t="str">
        <f>'MM CALC'!E93</f>
        <v>m2</v>
      </c>
      <c r="G97" s="225">
        <f>'MM CALC'!F93</f>
        <v>48.779999999999994</v>
      </c>
      <c r="H97" s="226">
        <v>6.54</v>
      </c>
      <c r="I97" s="226">
        <f t="shared" si="26"/>
        <v>8.4</v>
      </c>
      <c r="J97" s="226">
        <f t="shared" si="27"/>
        <v>409.75</v>
      </c>
      <c r="L97" s="228"/>
      <c r="P97" s="229"/>
    </row>
    <row r="98" spans="2:16" s="32" customFormat="1" ht="25.05" customHeight="1" x14ac:dyDescent="0.25">
      <c r="B98" s="30" t="s">
        <v>398</v>
      </c>
      <c r="C98" s="30" t="str">
        <f>'MM CALC'!B94</f>
        <v>SEINFRA</v>
      </c>
      <c r="D98" s="30" t="str">
        <f>'MM CALC'!C94</f>
        <v>ED-50473</v>
      </c>
      <c r="E98" s="46" t="str">
        <f>'MM CALC'!D94</f>
        <v>EMASSAMENTO EM PAREDE COM MASSA ACRÍLICA, UMA (1) DEMÃO, INCLUSIVE LIXAMENTO PARA PINTURA</v>
      </c>
      <c r="F98" s="30" t="str">
        <f>'MM CALC'!E94</f>
        <v>m2</v>
      </c>
      <c r="G98" s="72">
        <f>'MM CALC'!F94</f>
        <v>13.2</v>
      </c>
      <c r="H98" s="31">
        <v>14.51</v>
      </c>
      <c r="I98" s="31">
        <f t="shared" si="26"/>
        <v>18.64</v>
      </c>
      <c r="J98" s="31">
        <f t="shared" si="27"/>
        <v>246.05</v>
      </c>
      <c r="L98" s="78"/>
      <c r="P98" s="82"/>
    </row>
    <row r="99" spans="2:16" s="227" customFormat="1" ht="28.2" customHeight="1" x14ac:dyDescent="0.25">
      <c r="B99" s="208" t="s">
        <v>399</v>
      </c>
      <c r="C99" s="208" t="str">
        <f>'MM CALC'!B95</f>
        <v>SEINFRA</v>
      </c>
      <c r="D99" s="208" t="str">
        <f>'MM CALC'!C95</f>
        <v>ED-9919</v>
      </c>
      <c r="E99" s="141" t="str">
        <f>'MM CALC'!D95</f>
        <v>PINTURA EPÓXI EM PAREDE, DUAS (2) DEMÃOS, INCLUSIVE UMA (1) DEMÃO DE MASSA ACRÍLICA, EXCLUSIVE SELADOR ACRÍLICO</v>
      </c>
      <c r="F99" s="208" t="str">
        <f>'MM CALC'!E95</f>
        <v>m2</v>
      </c>
      <c r="G99" s="225">
        <f>'MM CALC'!F95</f>
        <v>13.2</v>
      </c>
      <c r="H99" s="226">
        <v>40.39</v>
      </c>
      <c r="I99" s="226">
        <f t="shared" si="26"/>
        <v>51.9</v>
      </c>
      <c r="J99" s="226">
        <f t="shared" si="27"/>
        <v>685.08</v>
      </c>
      <c r="L99" s="228"/>
      <c r="P99" s="229"/>
    </row>
    <row r="100" spans="2:16" s="227" customFormat="1" ht="28.2" customHeight="1" x14ac:dyDescent="0.25">
      <c r="B100" s="208" t="s">
        <v>400</v>
      </c>
      <c r="C100" s="208" t="str">
        <f>'MM CALC'!B96</f>
        <v>SEINFRA</v>
      </c>
      <c r="D100" s="208" t="str">
        <f>'MM CALC'!C96</f>
        <v>ED-50453</v>
      </c>
      <c r="E100" s="141" t="str">
        <f>'MM CALC'!D96</f>
        <v>PINTURA ACRÍLICA EM PAREDE, TRÊS (3) DEMÃOS, EXCLUSIVE SELADOR ACRÍLICO E MASSA ACRÍLICA/CORRIDA (PVA)</v>
      </c>
      <c r="F100" s="208" t="str">
        <f>'MM CALC'!E96</f>
        <v>m2</v>
      </c>
      <c r="G100" s="225">
        <f>'MM CALC'!F96</f>
        <v>35.58</v>
      </c>
      <c r="H100" s="226">
        <v>20.87</v>
      </c>
      <c r="I100" s="226">
        <f t="shared" si="26"/>
        <v>26.82</v>
      </c>
      <c r="J100" s="226">
        <f t="shared" si="27"/>
        <v>954.26</v>
      </c>
      <c r="L100" s="228"/>
      <c r="P100" s="229"/>
    </row>
    <row r="101" spans="2:16" s="227" customFormat="1" ht="28.2" customHeight="1" x14ac:dyDescent="0.25">
      <c r="B101" s="208" t="s">
        <v>401</v>
      </c>
      <c r="C101" s="208" t="str">
        <f>'MM CALC'!B97</f>
        <v>SEINFRA</v>
      </c>
      <c r="D101" s="208" t="str">
        <f>'MM CALC'!C97</f>
        <v>ED-50515</v>
      </c>
      <c r="E101" s="141" t="str">
        <f>'MM CALC'!D97</f>
        <v>PREPARAÇÃO PARA EMASSAMENTO OU PINTURA (LÁTEX/ACRÍLICA) EM TETO, INCLUSIVE UMA (1) DEMÃO DE SELADOR ACRÍLICO</v>
      </c>
      <c r="F101" s="208" t="str">
        <f>'MM CALC'!E97</f>
        <v>m2</v>
      </c>
      <c r="G101" s="225">
        <f>'MM CALC'!F97</f>
        <v>5.44</v>
      </c>
      <c r="H101" s="226">
        <v>8.17</v>
      </c>
      <c r="I101" s="226">
        <f t="shared" si="26"/>
        <v>10.5</v>
      </c>
      <c r="J101" s="226">
        <f t="shared" si="27"/>
        <v>57.12</v>
      </c>
      <c r="L101" s="228"/>
      <c r="P101" s="229"/>
    </row>
    <row r="102" spans="2:16" s="227" customFormat="1" ht="28.2" customHeight="1" x14ac:dyDescent="0.25">
      <c r="B102" s="208" t="s">
        <v>402</v>
      </c>
      <c r="C102" s="208" t="str">
        <f>'MM CALC'!B98</f>
        <v>SEINFRA</v>
      </c>
      <c r="D102" s="208" t="str">
        <f>'MM CALC'!C98</f>
        <v>ED-50454</v>
      </c>
      <c r="E102" s="141" t="str">
        <f>'MM CALC'!D98</f>
        <v>PINTURA ACRÍLICA EM TETO, TRÊS (3) DEMÃOS, EXCLUSIVE SELADOR ACRÍLICO E MASSA ACRÍLICA/CORRIDA (PVA)</v>
      </c>
      <c r="F102" s="208" t="str">
        <f>'MM CALC'!E98</f>
        <v>m2</v>
      </c>
      <c r="G102" s="225">
        <f>'MM CALC'!F98</f>
        <v>5.44</v>
      </c>
      <c r="H102" s="226">
        <v>23.18</v>
      </c>
      <c r="I102" s="226">
        <f t="shared" si="26"/>
        <v>29.78</v>
      </c>
      <c r="J102" s="226">
        <f t="shared" si="27"/>
        <v>162</v>
      </c>
      <c r="L102" s="228"/>
      <c r="P102" s="229"/>
    </row>
    <row r="103" spans="2:16" s="227" customFormat="1" ht="28.2" customHeight="1" x14ac:dyDescent="0.25">
      <c r="B103" s="208" t="s">
        <v>403</v>
      </c>
      <c r="C103" s="208" t="str">
        <f>'MM CALC'!B99</f>
        <v>SEINFRA</v>
      </c>
      <c r="D103" s="208" t="str">
        <f>'MM CALC'!C99</f>
        <v>ED-50491</v>
      </c>
      <c r="E103" s="141" t="str">
        <f>'MM CALC'!D99</f>
        <v>PINTURA ESMALTE EM ESQUADRIAS DE FERRO, DUAS (2) DEMÃOS, INCLUSIVE UMA (1) DEMÃO DE FUNDO ANTICORROSIVO</v>
      </c>
      <c r="F103" s="208" t="str">
        <f>'MM CALC'!E99</f>
        <v>m2</v>
      </c>
      <c r="G103" s="225">
        <f>'MM CALC'!F99</f>
        <v>14.920000000000002</v>
      </c>
      <c r="H103" s="226">
        <v>35.81</v>
      </c>
      <c r="I103" s="226">
        <f t="shared" si="26"/>
        <v>46.01</v>
      </c>
      <c r="J103" s="226">
        <f t="shared" si="27"/>
        <v>686.47</v>
      </c>
      <c r="L103" s="228"/>
      <c r="P103" s="229"/>
    </row>
    <row r="104" spans="2:16" s="35" customFormat="1" ht="10.199999999999999" x14ac:dyDescent="0.25">
      <c r="B104" s="53">
        <v>16</v>
      </c>
      <c r="C104" s="53"/>
      <c r="D104" s="147"/>
      <c r="E104" s="47" t="str">
        <f>'MM CALC'!D100</f>
        <v>SERVIÇOS FINAIS</v>
      </c>
      <c r="F104" s="53"/>
      <c r="G104" s="72"/>
      <c r="H104" s="124"/>
      <c r="I104" s="34"/>
      <c r="J104" s="196">
        <f>J105</f>
        <v>97.47</v>
      </c>
      <c r="L104" s="79"/>
      <c r="P104" s="83"/>
    </row>
    <row r="105" spans="2:16" s="32" customFormat="1" ht="25.05" customHeight="1" x14ac:dyDescent="0.25">
      <c r="B105" s="30" t="s">
        <v>81</v>
      </c>
      <c r="C105" s="30" t="str">
        <f>'MM CALC'!B101</f>
        <v>SEINFRA</v>
      </c>
      <c r="D105" s="30" t="str">
        <f>'MM CALC'!C101</f>
        <v>ED-50266</v>
      </c>
      <c r="E105" s="46" t="str">
        <f>'MM CALC'!D101</f>
        <v>LIMPEZA FINAL PARA ENTREGA DA OBRA</v>
      </c>
      <c r="F105" s="30" t="str">
        <f>'MM CALC'!E101</f>
        <v>m2</v>
      </c>
      <c r="G105" s="72">
        <f>'MM CALC'!F101</f>
        <v>10.914999999999999</v>
      </c>
      <c r="H105" s="31">
        <v>6.95</v>
      </c>
      <c r="I105" s="31">
        <f t="shared" ref="I105" si="28">ROUND((H105*(1+$I$9)),2)</f>
        <v>8.93</v>
      </c>
      <c r="J105" s="31">
        <f t="shared" ref="J105" si="29">ROUND((G105*I105),2)</f>
        <v>97.47</v>
      </c>
      <c r="L105" s="78" t="e">
        <f>#REF!*#REF!</f>
        <v>#REF!</v>
      </c>
      <c r="P105" s="82"/>
    </row>
    <row r="106" spans="2:16" s="32" customFormat="1" x14ac:dyDescent="0.25">
      <c r="B106" s="126"/>
      <c r="C106" s="127"/>
      <c r="D106" s="127"/>
      <c r="E106" s="120"/>
      <c r="F106" s="127"/>
      <c r="G106" s="128"/>
      <c r="H106" s="129"/>
      <c r="I106" s="130" t="s">
        <v>8</v>
      </c>
      <c r="J106" s="197">
        <f>J13+J15+J19+J26+J30+J32+J34+J41+J47+J66+J71+J80+J84+J91+J94+J104</f>
        <v>51929.700000000004</v>
      </c>
      <c r="L106" s="105" t="e">
        <f>#REF!+L105</f>
        <v>#REF!</v>
      </c>
      <c r="M106" s="35" t="s">
        <v>286</v>
      </c>
      <c r="P106" s="82"/>
    </row>
    <row r="107" spans="2:16" x14ac:dyDescent="0.25">
      <c r="B107" s="18"/>
      <c r="E107" s="40"/>
      <c r="F107" s="13"/>
      <c r="G107" s="100"/>
      <c r="H107" s="105"/>
      <c r="I107" s="105"/>
      <c r="J107" s="101"/>
      <c r="L107" s="189" t="e">
        <f>L106-J106</f>
        <v>#REF!</v>
      </c>
      <c r="M107" s="13" t="s">
        <v>287</v>
      </c>
    </row>
    <row r="108" spans="2:16" ht="15" customHeight="1" x14ac:dyDescent="0.25">
      <c r="B108" s="18"/>
      <c r="E108" s="40"/>
      <c r="F108" s="13"/>
      <c r="G108" s="100"/>
      <c r="H108" s="105"/>
      <c r="I108" s="105"/>
      <c r="J108" s="101"/>
    </row>
    <row r="109" spans="2:16" x14ac:dyDescent="0.25">
      <c r="B109" s="92"/>
      <c r="C109" s="93"/>
      <c r="D109" s="50"/>
      <c r="E109" s="50" t="s">
        <v>21</v>
      </c>
      <c r="F109" s="50"/>
      <c r="G109" s="51"/>
      <c r="H109" s="50" t="s">
        <v>288</v>
      </c>
      <c r="I109" s="125"/>
      <c r="J109" s="101"/>
    </row>
    <row r="110" spans="2:16" x14ac:dyDescent="0.25">
      <c r="B110" s="92"/>
      <c r="C110" s="93"/>
      <c r="D110" s="93"/>
      <c r="E110" s="93" t="s">
        <v>54</v>
      </c>
      <c r="F110" s="50"/>
      <c r="G110" s="51"/>
      <c r="H110" s="93" t="s">
        <v>308</v>
      </c>
      <c r="I110" s="125"/>
      <c r="J110" s="101"/>
      <c r="K110" s="25">
        <v>51929.7</v>
      </c>
    </row>
    <row r="111" spans="2:16" ht="13.8" x14ac:dyDescent="0.25">
      <c r="B111" s="94"/>
      <c r="E111" s="3" t="s">
        <v>55</v>
      </c>
      <c r="F111" s="50"/>
      <c r="G111" s="51"/>
      <c r="H111" s="3" t="s">
        <v>309</v>
      </c>
      <c r="I111" s="125"/>
      <c r="J111" s="101"/>
    </row>
    <row r="112" spans="2:16" x14ac:dyDescent="0.25">
      <c r="B112" s="185"/>
      <c r="C112" s="16"/>
      <c r="D112" s="16"/>
      <c r="E112" s="123"/>
      <c r="F112" s="16"/>
      <c r="G112" s="186"/>
      <c r="H112" s="187"/>
      <c r="I112" s="187"/>
      <c r="J112" s="188"/>
    </row>
  </sheetData>
  <autoFilter ref="B11:P106" xr:uid="{00000000-0009-0000-0000-000000000000}"/>
  <mergeCells count="5">
    <mergeCell ref="B3:J3"/>
    <mergeCell ref="F7:G7"/>
    <mergeCell ref="H7:I8"/>
    <mergeCell ref="J7:J9"/>
    <mergeCell ref="B8:E9"/>
  </mergeCells>
  <phoneticPr fontId="21" type="noConversion"/>
  <printOptions horizontalCentered="1"/>
  <pageMargins left="0" right="0" top="0.39370078740157483" bottom="0" header="0" footer="0"/>
  <pageSetup paperSize="9" scale="90" fitToHeight="16" orientation="landscape" r:id="rId1"/>
  <headerFooter alignWithMargins="0">
    <oddFooter>&amp;C
Página &amp;P de &amp;N</oddFooter>
  </headerFooter>
  <rowBreaks count="6" manualBreakCount="6">
    <brk id="29" min="1" max="9" man="1"/>
    <brk id="46" min="1" max="9" man="1"/>
    <brk id="57" min="1" max="9" man="1"/>
    <brk id="70" min="1" max="9" man="1"/>
    <brk id="79" min="1" max="9" man="1"/>
    <brk id="93" min="1" max="9" man="1"/>
  </rowBreaks>
  <ignoredErrors>
    <ignoredError sqref="J94:J103 J30:J33 J15:J18 J27:J28 J34:J35 J36:J73 J20:J25 J74:J75 J76:J79 J80:J93"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1"/>
  <sheetViews>
    <sheetView showGridLines="0" view="pageBreakPreview" zoomScale="115" zoomScaleNormal="75" zoomScaleSheetLayoutView="115" workbookViewId="0">
      <pane ySplit="7" topLeftCell="A56" activePane="bottomLeft" state="frozen"/>
      <selection pane="bottomLeft" activeCell="D58" sqref="D58"/>
    </sheetView>
  </sheetViews>
  <sheetFormatPr defaultColWidth="9.109375" defaultRowHeight="13.2" x14ac:dyDescent="0.25"/>
  <cols>
    <col min="1" max="1" width="6.44140625" style="37" customWidth="1"/>
    <col min="2" max="2" width="8.88671875" style="36" customWidth="1"/>
    <col min="3" max="3" width="8.44140625" style="36" bestFit="1" customWidth="1"/>
    <col min="4" max="4" width="54.88671875" style="11" customWidth="1"/>
    <col min="5" max="5" width="8.6640625" style="36" customWidth="1"/>
    <col min="6" max="6" width="7.88671875" style="38" bestFit="1" customWidth="1"/>
    <col min="7" max="7" width="80.5546875" style="14" customWidth="1"/>
    <col min="8" max="8" width="20.6640625" style="63" bestFit="1" customWidth="1"/>
    <col min="9" max="9" width="41.5546875" style="63" customWidth="1"/>
    <col min="10" max="10" width="18.88671875" style="14" bestFit="1" customWidth="1"/>
    <col min="11" max="16384" width="9.109375" style="14"/>
  </cols>
  <sheetData>
    <row r="1" spans="1:10" x14ac:dyDescent="0.25">
      <c r="A1" s="247" t="s">
        <v>31</v>
      </c>
      <c r="B1" s="247"/>
      <c r="C1" s="247"/>
      <c r="D1" s="247"/>
      <c r="E1" s="247"/>
      <c r="F1" s="247"/>
      <c r="G1" s="247"/>
    </row>
    <row r="2" spans="1:10" ht="5.0999999999999996" customHeight="1" x14ac:dyDescent="0.25">
      <c r="A2" s="109"/>
      <c r="B2" s="110"/>
      <c r="C2" s="110"/>
      <c r="D2" s="148"/>
      <c r="E2" s="110"/>
      <c r="F2" s="114"/>
      <c r="G2" s="115"/>
    </row>
    <row r="3" spans="1:10" s="137" customFormat="1" x14ac:dyDescent="0.25">
      <c r="A3" s="131" t="s">
        <v>42</v>
      </c>
      <c r="B3" s="134"/>
      <c r="C3" s="132"/>
      <c r="D3" s="133"/>
      <c r="E3" s="134" t="s">
        <v>312</v>
      </c>
      <c r="F3" s="135"/>
      <c r="G3" s="136"/>
      <c r="H3" s="58"/>
      <c r="I3" s="58"/>
    </row>
    <row r="4" spans="1:10" s="137" customFormat="1" x14ac:dyDescent="0.25">
      <c r="A4" s="131" t="s">
        <v>396</v>
      </c>
      <c r="B4" s="134"/>
      <c r="C4" s="132"/>
      <c r="D4" s="133"/>
      <c r="E4" s="132"/>
      <c r="F4" s="135"/>
      <c r="G4" s="136"/>
      <c r="H4" s="58"/>
      <c r="I4" s="194"/>
    </row>
    <row r="5" spans="1:10" s="137" customFormat="1" x14ac:dyDescent="0.25">
      <c r="A5" s="131" t="s">
        <v>406</v>
      </c>
      <c r="B5" s="134"/>
      <c r="C5" s="132"/>
      <c r="D5" s="133"/>
      <c r="E5" s="132"/>
      <c r="F5" s="138"/>
      <c r="G5" s="136"/>
      <c r="H5" s="58"/>
      <c r="I5" s="58"/>
    </row>
    <row r="6" spans="1:10" ht="5.0999999999999996" customHeight="1" x14ac:dyDescent="0.25">
      <c r="A6" s="116"/>
      <c r="B6" s="153"/>
      <c r="C6" s="117"/>
      <c r="D6" s="148"/>
      <c r="E6" s="117"/>
      <c r="F6" s="114"/>
      <c r="G6" s="115"/>
    </row>
    <row r="7" spans="1:10" s="36" customFormat="1" ht="26.4" x14ac:dyDescent="0.25">
      <c r="A7" s="150" t="s">
        <v>0</v>
      </c>
      <c r="B7" s="214" t="s">
        <v>9</v>
      </c>
      <c r="C7" s="214" t="s">
        <v>2</v>
      </c>
      <c r="D7" s="214" t="s">
        <v>1</v>
      </c>
      <c r="E7" s="214" t="s">
        <v>6</v>
      </c>
      <c r="F7" s="5" t="s">
        <v>7</v>
      </c>
      <c r="G7" s="214" t="s">
        <v>17</v>
      </c>
      <c r="H7" s="62" t="s">
        <v>289</v>
      </c>
      <c r="I7" s="199" t="s">
        <v>290</v>
      </c>
      <c r="J7" s="213" t="s">
        <v>293</v>
      </c>
    </row>
    <row r="8" spans="1:10" s="44" customFormat="1" ht="5.0999999999999996" customHeight="1" x14ac:dyDescent="0.25">
      <c r="A8" s="118" t="s">
        <v>22</v>
      </c>
      <c r="B8" s="118" t="s">
        <v>22</v>
      </c>
      <c r="C8" s="119" t="s">
        <v>22</v>
      </c>
      <c r="D8" s="120" t="s">
        <v>22</v>
      </c>
      <c r="E8" s="119" t="s">
        <v>22</v>
      </c>
      <c r="F8" s="121" t="s">
        <v>22</v>
      </c>
      <c r="G8" s="122" t="s">
        <v>22</v>
      </c>
      <c r="H8" s="215"/>
      <c r="I8" s="200"/>
    </row>
    <row r="9" spans="1:10" s="49" customFormat="1" ht="10.199999999999999" x14ac:dyDescent="0.25">
      <c r="A9" s="151">
        <v>1</v>
      </c>
      <c r="B9" s="48"/>
      <c r="C9" s="43"/>
      <c r="D9" s="47" t="s">
        <v>26</v>
      </c>
      <c r="E9" s="43"/>
      <c r="F9" s="74"/>
      <c r="G9" s="48" t="s">
        <v>22</v>
      </c>
      <c r="H9" s="215"/>
      <c r="I9" s="200"/>
      <c r="J9" s="91"/>
    </row>
    <row r="10" spans="1:10" s="44" customFormat="1" ht="64.8" customHeight="1" x14ac:dyDescent="0.25">
      <c r="A10" s="118" t="s">
        <v>11</v>
      </c>
      <c r="B10" s="45" t="s">
        <v>23</v>
      </c>
      <c r="C10" s="28" t="s">
        <v>313</v>
      </c>
      <c r="D10" s="46" t="s">
        <v>314</v>
      </c>
      <c r="E10" s="28" t="s">
        <v>32</v>
      </c>
      <c r="F10" s="112">
        <v>4.5</v>
      </c>
      <c r="G10" s="139" t="s">
        <v>315</v>
      </c>
      <c r="H10" s="216"/>
      <c r="I10" s="200"/>
      <c r="J10" s="209"/>
    </row>
    <row r="11" spans="1:10" s="49" customFormat="1" ht="10.199999999999999" x14ac:dyDescent="0.25">
      <c r="A11" s="151">
        <v>2</v>
      </c>
      <c r="B11" s="48"/>
      <c r="C11" s="43"/>
      <c r="D11" s="47" t="s">
        <v>322</v>
      </c>
      <c r="E11" s="43"/>
      <c r="F11" s="74"/>
      <c r="G11" s="48" t="s">
        <v>22</v>
      </c>
      <c r="H11" s="215"/>
      <c r="I11" s="200"/>
      <c r="J11" s="91"/>
    </row>
    <row r="12" spans="1:10" s="44" customFormat="1" ht="30.6" x14ac:dyDescent="0.25">
      <c r="A12" s="118" t="s">
        <v>12</v>
      </c>
      <c r="B12" s="45" t="s">
        <v>23</v>
      </c>
      <c r="C12" s="28" t="s">
        <v>318</v>
      </c>
      <c r="D12" s="46" t="s">
        <v>319</v>
      </c>
      <c r="E12" s="28" t="s">
        <v>29</v>
      </c>
      <c r="F12" s="143">
        <f>(1*1*0.45*4)+(((0.75*2)+(2.5*2)+1.7)*0.35*0.25)</f>
        <v>2.5175000000000001</v>
      </c>
      <c r="G12" s="141" t="s">
        <v>291</v>
      </c>
      <c r="H12" s="216"/>
      <c r="I12" s="200"/>
      <c r="J12" s="209"/>
    </row>
    <row r="13" spans="1:10" s="44" customFormat="1" ht="30.6" x14ac:dyDescent="0.25">
      <c r="A13" s="118" t="s">
        <v>316</v>
      </c>
      <c r="B13" s="45" t="s">
        <v>23</v>
      </c>
      <c r="C13" s="28" t="s">
        <v>59</v>
      </c>
      <c r="D13" s="46" t="s">
        <v>60</v>
      </c>
      <c r="E13" s="28" t="s">
        <v>32</v>
      </c>
      <c r="F13" s="143">
        <f>(1*1*4)+(((0.75*2)+(2.5*2)+1.7)*0.25)</f>
        <v>6.05</v>
      </c>
      <c r="G13" s="141" t="s">
        <v>292</v>
      </c>
      <c r="H13" s="216"/>
      <c r="I13" s="200"/>
      <c r="J13" s="209"/>
    </row>
    <row r="14" spans="1:10" s="44" customFormat="1" ht="34.200000000000003" customHeight="1" x14ac:dyDescent="0.25">
      <c r="A14" s="118" t="s">
        <v>317</v>
      </c>
      <c r="B14" s="45" t="s">
        <v>23</v>
      </c>
      <c r="C14" s="28" t="s">
        <v>320</v>
      </c>
      <c r="D14" s="141" t="s">
        <v>321</v>
      </c>
      <c r="E14" s="142" t="s">
        <v>29</v>
      </c>
      <c r="F14" s="140">
        <f>2.52-0.3-1.39</f>
        <v>0.83000000000000029</v>
      </c>
      <c r="G14" s="139" t="s">
        <v>280</v>
      </c>
      <c r="H14" s="216"/>
      <c r="I14" s="200"/>
      <c r="J14" s="209"/>
    </row>
    <row r="15" spans="1:10" s="49" customFormat="1" ht="10.199999999999999" x14ac:dyDescent="0.25">
      <c r="A15" s="151">
        <v>3</v>
      </c>
      <c r="B15" s="48"/>
      <c r="C15" s="43"/>
      <c r="D15" s="47" t="s">
        <v>199</v>
      </c>
      <c r="E15" s="43"/>
      <c r="F15" s="182"/>
      <c r="G15" s="91"/>
      <c r="H15" s="215"/>
      <c r="I15" s="200"/>
      <c r="J15" s="91"/>
    </row>
    <row r="16" spans="1:10" s="44" customFormat="1" ht="40.799999999999997" x14ac:dyDescent="0.25">
      <c r="A16" s="118" t="s">
        <v>13</v>
      </c>
      <c r="B16" s="45" t="s">
        <v>23</v>
      </c>
      <c r="C16" s="28" t="s">
        <v>138</v>
      </c>
      <c r="D16" s="46" t="s">
        <v>139</v>
      </c>
      <c r="E16" s="28" t="s">
        <v>29</v>
      </c>
      <c r="F16" s="143">
        <f>((1*1*4)+(((0.75*2)+(2.5*2)+1.7)*0.25))*0.05</f>
        <v>0.30249999999999999</v>
      </c>
      <c r="G16" s="141" t="s">
        <v>193</v>
      </c>
      <c r="H16" s="216"/>
      <c r="I16" s="200"/>
      <c r="J16" s="209"/>
    </row>
    <row r="17" spans="1:10" s="44" customFormat="1" ht="30.6" x14ac:dyDescent="0.25">
      <c r="A17" s="118" t="s">
        <v>194</v>
      </c>
      <c r="B17" s="45" t="s">
        <v>23</v>
      </c>
      <c r="C17" s="28" t="s">
        <v>65</v>
      </c>
      <c r="D17" s="46" t="s">
        <v>323</v>
      </c>
      <c r="E17" s="28" t="s">
        <v>32</v>
      </c>
      <c r="F17" s="143">
        <f>(0.8*0.4*4*4)+((0.95*2)+(2.7*2)+1.7)*0.3*2</f>
        <v>10.52</v>
      </c>
      <c r="G17" s="141" t="s">
        <v>192</v>
      </c>
      <c r="H17" s="216"/>
      <c r="I17" s="200"/>
      <c r="J17" s="209"/>
    </row>
    <row r="18" spans="1:10" s="49" customFormat="1" ht="30.6" x14ac:dyDescent="0.25">
      <c r="A18" s="118" t="s">
        <v>195</v>
      </c>
      <c r="B18" s="45" t="s">
        <v>23</v>
      </c>
      <c r="C18" s="28" t="s">
        <v>70</v>
      </c>
      <c r="D18" s="46" t="s">
        <v>324</v>
      </c>
      <c r="E18" s="28" t="s">
        <v>32</v>
      </c>
      <c r="F18" s="143">
        <f>((0.15+0.25+0.15+0.25)*2.55*4)+((3.65+2)*2*0.25)+(1.7*4*0.25)+(1.6*4*0.25)</f>
        <v>14.284999999999998</v>
      </c>
      <c r="G18" s="141" t="s">
        <v>279</v>
      </c>
      <c r="H18" s="216"/>
      <c r="I18" s="200"/>
      <c r="J18" s="91"/>
    </row>
    <row r="19" spans="1:10" s="44" customFormat="1" ht="61.2" x14ac:dyDescent="0.25">
      <c r="A19" s="118" t="s">
        <v>196</v>
      </c>
      <c r="B19" s="45" t="s">
        <v>23</v>
      </c>
      <c r="C19" s="28" t="s">
        <v>141</v>
      </c>
      <c r="D19" s="46" t="s">
        <v>325</v>
      </c>
      <c r="E19" s="28" t="s">
        <v>29</v>
      </c>
      <c r="F19" s="143">
        <f>(0.8*0.8*4*0.4)+(((0.75*2)+(2.5*2)+1.7)*0.15*0.3)+(0.15*0.25*2.55*4)+(0.15*0.25*3.65*2)+(0.15*0.25*1.7*3)</f>
        <v>2.2405000000000004</v>
      </c>
      <c r="G19" s="141" t="s">
        <v>278</v>
      </c>
      <c r="H19" s="216"/>
      <c r="I19" s="200"/>
      <c r="J19" s="209"/>
    </row>
    <row r="20" spans="1:10" s="44" customFormat="1" ht="26.4" customHeight="1" x14ac:dyDescent="0.25">
      <c r="A20" s="118" t="s">
        <v>197</v>
      </c>
      <c r="B20" s="45" t="s">
        <v>23</v>
      </c>
      <c r="C20" s="28" t="s">
        <v>133</v>
      </c>
      <c r="D20" s="46" t="s">
        <v>326</v>
      </c>
      <c r="E20" s="28" t="s">
        <v>66</v>
      </c>
      <c r="F20" s="143">
        <f>'MM CALC AÇO'!I46</f>
        <v>14.819640000000001</v>
      </c>
      <c r="G20" s="141" t="s">
        <v>294</v>
      </c>
      <c r="H20" s="216"/>
      <c r="I20" s="200"/>
      <c r="J20" s="209"/>
    </row>
    <row r="21" spans="1:10" s="44" customFormat="1" ht="35.4" customHeight="1" x14ac:dyDescent="0.25">
      <c r="A21" s="118" t="s">
        <v>198</v>
      </c>
      <c r="B21" s="45" t="s">
        <v>23</v>
      </c>
      <c r="C21" s="28" t="s">
        <v>134</v>
      </c>
      <c r="D21" s="46" t="s">
        <v>327</v>
      </c>
      <c r="E21" s="28" t="s">
        <v>66</v>
      </c>
      <c r="F21" s="143">
        <f>'MM CALC AÇO'!I47</f>
        <v>93.909120000000001</v>
      </c>
      <c r="G21" s="141" t="s">
        <v>295</v>
      </c>
      <c r="H21" s="216"/>
      <c r="I21" s="200"/>
      <c r="J21" s="209"/>
    </row>
    <row r="22" spans="1:10" s="49" customFormat="1" ht="10.199999999999999" x14ac:dyDescent="0.25">
      <c r="A22" s="151">
        <v>4</v>
      </c>
      <c r="B22" s="45"/>
      <c r="C22" s="43"/>
      <c r="D22" s="47" t="s">
        <v>71</v>
      </c>
      <c r="E22" s="43"/>
      <c r="F22" s="112"/>
      <c r="G22" s="45"/>
      <c r="H22" s="215"/>
      <c r="I22" s="200"/>
      <c r="J22" s="91"/>
    </row>
    <row r="23" spans="1:10" s="49" customFormat="1" ht="54.6" customHeight="1" x14ac:dyDescent="0.25">
      <c r="A23" s="118" t="s">
        <v>34</v>
      </c>
      <c r="B23" s="45" t="s">
        <v>23</v>
      </c>
      <c r="C23" s="28" t="s">
        <v>328</v>
      </c>
      <c r="D23" s="46" t="s">
        <v>329</v>
      </c>
      <c r="E23" s="28" t="s">
        <v>32</v>
      </c>
      <c r="F23" s="140">
        <f>3.65*2</f>
        <v>7.3</v>
      </c>
      <c r="G23" s="46" t="s">
        <v>200</v>
      </c>
      <c r="H23" s="216"/>
      <c r="I23" s="200"/>
      <c r="J23" s="91"/>
    </row>
    <row r="24" spans="1:10" s="49" customFormat="1" ht="54.6" customHeight="1" x14ac:dyDescent="0.25">
      <c r="A24" s="118" t="s">
        <v>36</v>
      </c>
      <c r="B24" s="45" t="s">
        <v>23</v>
      </c>
      <c r="C24" s="28" t="s">
        <v>330</v>
      </c>
      <c r="D24" s="46" t="s">
        <v>331</v>
      </c>
      <c r="E24" s="28" t="s">
        <v>332</v>
      </c>
      <c r="F24" s="140">
        <f>3.65*2*1</f>
        <v>7.3</v>
      </c>
      <c r="G24" s="46" t="s">
        <v>335</v>
      </c>
      <c r="H24" s="216"/>
      <c r="I24" s="200"/>
      <c r="J24" s="91"/>
    </row>
    <row r="25" spans="1:10" s="49" customFormat="1" ht="54.6" customHeight="1" x14ac:dyDescent="0.25">
      <c r="A25" s="118" t="s">
        <v>43</v>
      </c>
      <c r="B25" s="45" t="s">
        <v>23</v>
      </c>
      <c r="C25" s="28" t="s">
        <v>333</v>
      </c>
      <c r="D25" s="46" t="s">
        <v>334</v>
      </c>
      <c r="E25" s="28" t="s">
        <v>32</v>
      </c>
      <c r="F25" s="140">
        <f>3.65*2</f>
        <v>7.3</v>
      </c>
      <c r="G25" s="46" t="s">
        <v>200</v>
      </c>
      <c r="H25" s="216"/>
      <c r="I25" s="200"/>
      <c r="J25" s="91"/>
    </row>
    <row r="26" spans="1:10" s="49" customFormat="1" ht="10.199999999999999" x14ac:dyDescent="0.25">
      <c r="A26" s="151">
        <v>5</v>
      </c>
      <c r="B26" s="45"/>
      <c r="C26" s="43"/>
      <c r="D26" s="47" t="s">
        <v>74</v>
      </c>
      <c r="E26" s="43"/>
      <c r="F26" s="112"/>
      <c r="G26" s="45"/>
      <c r="H26" s="215"/>
      <c r="I26" s="200"/>
      <c r="J26" s="91"/>
    </row>
    <row r="27" spans="1:10" s="49" customFormat="1" ht="37.799999999999997" customHeight="1" x14ac:dyDescent="0.25">
      <c r="A27" s="118" t="s">
        <v>38</v>
      </c>
      <c r="B27" s="45" t="s">
        <v>23</v>
      </c>
      <c r="C27" s="28" t="s">
        <v>78</v>
      </c>
      <c r="D27" s="46" t="s">
        <v>79</v>
      </c>
      <c r="E27" s="28" t="s">
        <v>32</v>
      </c>
      <c r="F27" s="113">
        <f>((3.35+3.35+1.7+1.5+1.5)*2.55)-(0.6*0.6*4)-(0.9*2.1*2)+(((1.65*2)+(1.3*2))*1.1)</f>
        <v>30.34</v>
      </c>
      <c r="G27" s="46" t="s">
        <v>201</v>
      </c>
      <c r="H27" s="216"/>
      <c r="I27" s="200"/>
      <c r="J27" s="91"/>
    </row>
    <row r="28" spans="1:10" s="49" customFormat="1" ht="10.199999999999999" x14ac:dyDescent="0.25">
      <c r="A28" s="151">
        <v>6</v>
      </c>
      <c r="B28" s="45"/>
      <c r="C28" s="43"/>
      <c r="D28" s="47" t="s">
        <v>76</v>
      </c>
      <c r="E28" s="43"/>
      <c r="F28" s="112"/>
      <c r="G28" s="45"/>
      <c r="H28" s="215"/>
      <c r="I28" s="200"/>
      <c r="J28" s="91"/>
    </row>
    <row r="29" spans="1:10" s="49" customFormat="1" ht="48.6" customHeight="1" x14ac:dyDescent="0.25">
      <c r="A29" s="118" t="s">
        <v>39</v>
      </c>
      <c r="B29" s="45" t="s">
        <v>23</v>
      </c>
      <c r="C29" s="28" t="s">
        <v>336</v>
      </c>
      <c r="D29" s="46" t="s">
        <v>337</v>
      </c>
      <c r="E29" s="28" t="s">
        <v>29</v>
      </c>
      <c r="F29" s="112">
        <f>((0.9+0.3)*2*0.15*0.1)+((1.2+0.3)*2*0.15*0.1)+((1.2+0.3)*2*0.15*0.1)</f>
        <v>0.126</v>
      </c>
      <c r="G29" s="46" t="s">
        <v>338</v>
      </c>
      <c r="H29" s="216"/>
      <c r="I29" s="200"/>
      <c r="J29" s="91"/>
    </row>
    <row r="30" spans="1:10" s="49" customFormat="1" ht="10.199999999999999" x14ac:dyDescent="0.25">
      <c r="A30" s="151">
        <v>7</v>
      </c>
      <c r="B30" s="48"/>
      <c r="C30" s="43"/>
      <c r="D30" s="47" t="s">
        <v>145</v>
      </c>
      <c r="E30" s="43"/>
      <c r="F30" s="33"/>
      <c r="G30" s="91"/>
      <c r="H30" s="217"/>
      <c r="I30" s="201"/>
      <c r="J30" s="91"/>
    </row>
    <row r="31" spans="1:10" s="44" customFormat="1" ht="44.4" customHeight="1" x14ac:dyDescent="0.25">
      <c r="A31" s="118" t="s">
        <v>45</v>
      </c>
      <c r="B31" s="45" t="s">
        <v>23</v>
      </c>
      <c r="C31" s="28" t="s">
        <v>48</v>
      </c>
      <c r="D31" s="46" t="s">
        <v>339</v>
      </c>
      <c r="E31" s="28" t="s">
        <v>32</v>
      </c>
      <c r="F31" s="140">
        <f>3.65*2*1</f>
        <v>7.3</v>
      </c>
      <c r="G31" s="46" t="s">
        <v>335</v>
      </c>
      <c r="H31" s="216"/>
      <c r="I31" s="200"/>
      <c r="J31" s="209"/>
    </row>
    <row r="32" spans="1:10" s="44" customFormat="1" ht="28.2" customHeight="1" x14ac:dyDescent="0.25">
      <c r="A32" s="118" t="s">
        <v>254</v>
      </c>
      <c r="B32" s="45" t="s">
        <v>23</v>
      </c>
      <c r="C32" s="28" t="s">
        <v>121</v>
      </c>
      <c r="D32" s="46" t="s">
        <v>122</v>
      </c>
      <c r="E32" s="28" t="s">
        <v>32</v>
      </c>
      <c r="F32" s="140">
        <f>(1.6*1.7*2)+(3.65*1.5)</f>
        <v>10.914999999999999</v>
      </c>
      <c r="G32" s="141" t="s">
        <v>202</v>
      </c>
      <c r="H32" s="216"/>
      <c r="I32" s="200"/>
      <c r="J32" s="209"/>
    </row>
    <row r="33" spans="1:10" s="44" customFormat="1" ht="35.4" customHeight="1" x14ac:dyDescent="0.25">
      <c r="A33" s="118" t="s">
        <v>340</v>
      </c>
      <c r="B33" s="45" t="s">
        <v>23</v>
      </c>
      <c r="C33" s="28" t="s">
        <v>123</v>
      </c>
      <c r="D33" s="46" t="s">
        <v>124</v>
      </c>
      <c r="E33" s="28" t="s">
        <v>32</v>
      </c>
      <c r="F33" s="140">
        <f>1.6*1.7*2</f>
        <v>5.44</v>
      </c>
      <c r="G33" s="141" t="s">
        <v>203</v>
      </c>
      <c r="H33" s="216"/>
      <c r="I33" s="200"/>
      <c r="J33" s="209"/>
    </row>
    <row r="34" spans="1:10" s="44" customFormat="1" ht="57.6" customHeight="1" x14ac:dyDescent="0.25">
      <c r="A34" s="118" t="s">
        <v>341</v>
      </c>
      <c r="B34" s="45" t="s">
        <v>23</v>
      </c>
      <c r="C34" s="28" t="s">
        <v>342</v>
      </c>
      <c r="D34" s="46" t="s">
        <v>301</v>
      </c>
      <c r="E34" s="28" t="s">
        <v>32</v>
      </c>
      <c r="F34" s="113">
        <f>1.6*1.7*2</f>
        <v>5.44</v>
      </c>
      <c r="G34" s="46" t="s">
        <v>203</v>
      </c>
      <c r="H34" s="216"/>
      <c r="I34" s="200"/>
      <c r="J34" s="209"/>
    </row>
    <row r="35" spans="1:10" s="44" customFormat="1" ht="42" customHeight="1" x14ac:dyDescent="0.25">
      <c r="A35" s="118" t="s">
        <v>347</v>
      </c>
      <c r="B35" s="45" t="s">
        <v>23</v>
      </c>
      <c r="C35" s="28" t="s">
        <v>126</v>
      </c>
      <c r="D35" s="46" t="s">
        <v>125</v>
      </c>
      <c r="E35" s="28" t="s">
        <v>32</v>
      </c>
      <c r="F35" s="140">
        <f>3.65*1.5</f>
        <v>5.4749999999999996</v>
      </c>
      <c r="G35" s="141" t="s">
        <v>204</v>
      </c>
      <c r="H35" s="216"/>
      <c r="I35" s="200"/>
      <c r="J35" s="209"/>
    </row>
    <row r="36" spans="1:10" s="145" customFormat="1" ht="33.6" customHeight="1" x14ac:dyDescent="0.25">
      <c r="A36" s="118" t="s">
        <v>348</v>
      </c>
      <c r="B36" s="144" t="s">
        <v>23</v>
      </c>
      <c r="C36" s="142" t="s">
        <v>269</v>
      </c>
      <c r="D36" s="141" t="s">
        <v>343</v>
      </c>
      <c r="E36" s="142" t="s">
        <v>32</v>
      </c>
      <c r="F36" s="143">
        <f>0.9*0.15*2</f>
        <v>0.27</v>
      </c>
      <c r="G36" s="141" t="s">
        <v>205</v>
      </c>
      <c r="H36" s="218"/>
      <c r="I36" s="139"/>
      <c r="J36" s="139"/>
    </row>
    <row r="37" spans="1:10" s="49" customFormat="1" ht="10.199999999999999" x14ac:dyDescent="0.25">
      <c r="A37" s="151">
        <v>8</v>
      </c>
      <c r="B37" s="48"/>
      <c r="C37" s="43"/>
      <c r="D37" s="47" t="s">
        <v>80</v>
      </c>
      <c r="E37" s="43"/>
      <c r="F37" s="33"/>
      <c r="G37" s="91"/>
      <c r="H37" s="217"/>
      <c r="I37" s="201"/>
      <c r="J37" s="91"/>
    </row>
    <row r="38" spans="1:10" s="44" customFormat="1" ht="40.049999999999997" customHeight="1" x14ac:dyDescent="0.25">
      <c r="A38" s="118" t="s">
        <v>47</v>
      </c>
      <c r="B38" s="45" t="s">
        <v>23</v>
      </c>
      <c r="C38" s="28" t="s">
        <v>82</v>
      </c>
      <c r="D38" s="46" t="s">
        <v>344</v>
      </c>
      <c r="E38" s="28" t="s">
        <v>32</v>
      </c>
      <c r="F38" s="143">
        <f>((1.8+1.38)*4.45)-(2*1.65)</f>
        <v>10.850999999999999</v>
      </c>
      <c r="G38" s="141" t="s">
        <v>297</v>
      </c>
      <c r="H38" s="219"/>
      <c r="I38" s="200"/>
      <c r="J38" s="209"/>
    </row>
    <row r="39" spans="1:10" s="44" customFormat="1" ht="40.049999999999997" customHeight="1" x14ac:dyDescent="0.25">
      <c r="A39" s="118" t="s">
        <v>144</v>
      </c>
      <c r="B39" s="45" t="s">
        <v>23</v>
      </c>
      <c r="C39" s="28" t="s">
        <v>84</v>
      </c>
      <c r="D39" s="46" t="s">
        <v>345</v>
      </c>
      <c r="E39" s="28" t="s">
        <v>32</v>
      </c>
      <c r="F39" s="143">
        <f>((1.8+1.38)*4.45)-(2*1.65)</f>
        <v>10.850999999999999</v>
      </c>
      <c r="G39" s="141" t="s">
        <v>297</v>
      </c>
      <c r="H39" s="219"/>
      <c r="I39" s="200"/>
      <c r="J39" s="209"/>
    </row>
    <row r="40" spans="1:10" s="44" customFormat="1" ht="40.049999999999997" customHeight="1" x14ac:dyDescent="0.25">
      <c r="A40" s="118" t="s">
        <v>255</v>
      </c>
      <c r="B40" s="45" t="s">
        <v>23</v>
      </c>
      <c r="C40" s="28" t="s">
        <v>83</v>
      </c>
      <c r="D40" s="46" t="s">
        <v>346</v>
      </c>
      <c r="E40" s="28" t="s">
        <v>32</v>
      </c>
      <c r="F40" s="143">
        <f>1.3572*1.35</f>
        <v>1.83222</v>
      </c>
      <c r="G40" s="141" t="s">
        <v>206</v>
      </c>
      <c r="H40" s="219"/>
      <c r="I40" s="200"/>
      <c r="J40" s="209"/>
    </row>
    <row r="41" spans="1:10" s="44" customFormat="1" ht="57" customHeight="1" x14ac:dyDescent="0.25">
      <c r="A41" s="118" t="s">
        <v>256</v>
      </c>
      <c r="B41" s="45" t="s">
        <v>23</v>
      </c>
      <c r="C41" s="28" t="s">
        <v>302</v>
      </c>
      <c r="D41" s="46" t="s">
        <v>349</v>
      </c>
      <c r="E41" s="28" t="s">
        <v>32</v>
      </c>
      <c r="F41" s="143">
        <f>1.3572*1.35</f>
        <v>1.83222</v>
      </c>
      <c r="G41" s="141" t="s">
        <v>206</v>
      </c>
      <c r="H41" s="219"/>
      <c r="I41" s="200"/>
      <c r="J41" s="209"/>
    </row>
    <row r="42" spans="1:10" s="44" customFormat="1" ht="46.2" customHeight="1" x14ac:dyDescent="0.25">
      <c r="A42" s="118" t="s">
        <v>257</v>
      </c>
      <c r="B42" s="45" t="s">
        <v>23</v>
      </c>
      <c r="C42" s="28" t="s">
        <v>85</v>
      </c>
      <c r="D42" s="46" t="s">
        <v>350</v>
      </c>
      <c r="E42" s="28" t="s">
        <v>35</v>
      </c>
      <c r="F42" s="143">
        <f>4.45-1.65</f>
        <v>2.8000000000000003</v>
      </c>
      <c r="G42" s="210" t="s">
        <v>276</v>
      </c>
      <c r="H42" s="216"/>
      <c r="I42" s="200"/>
      <c r="J42" s="209"/>
    </row>
    <row r="43" spans="1:10" s="49" customFormat="1" ht="10.199999999999999" x14ac:dyDescent="0.25">
      <c r="A43" s="151">
        <v>9</v>
      </c>
      <c r="B43" s="48"/>
      <c r="C43" s="43"/>
      <c r="D43" s="47" t="s">
        <v>238</v>
      </c>
      <c r="E43" s="43"/>
      <c r="F43" s="33"/>
      <c r="G43" s="91"/>
      <c r="H43" s="217"/>
      <c r="I43" s="201"/>
      <c r="J43" s="91"/>
    </row>
    <row r="44" spans="1:10" s="44" customFormat="1" ht="76.2" customHeight="1" x14ac:dyDescent="0.25">
      <c r="A44" s="118" t="s">
        <v>53</v>
      </c>
      <c r="B44" s="45" t="s">
        <v>23</v>
      </c>
      <c r="C44" s="28" t="s">
        <v>86</v>
      </c>
      <c r="D44" s="46" t="s">
        <v>351</v>
      </c>
      <c r="E44" s="28" t="s">
        <v>28</v>
      </c>
      <c r="F44" s="143">
        <f>2+2</f>
        <v>4</v>
      </c>
      <c r="G44" s="141" t="s">
        <v>211</v>
      </c>
      <c r="H44" s="216"/>
      <c r="I44" s="200"/>
      <c r="J44" s="209"/>
    </row>
    <row r="45" spans="1:10" s="44" customFormat="1" ht="51" x14ac:dyDescent="0.25">
      <c r="A45" s="118" t="s">
        <v>146</v>
      </c>
      <c r="B45" s="45" t="s">
        <v>23</v>
      </c>
      <c r="C45" s="28" t="s">
        <v>87</v>
      </c>
      <c r="D45" s="46" t="s">
        <v>352</v>
      </c>
      <c r="E45" s="28" t="s">
        <v>28</v>
      </c>
      <c r="F45" s="143">
        <f>1+1</f>
        <v>2</v>
      </c>
      <c r="G45" s="141" t="s">
        <v>210</v>
      </c>
      <c r="H45" s="216"/>
      <c r="I45" s="200"/>
      <c r="J45" s="209"/>
    </row>
    <row r="46" spans="1:10" s="44" customFormat="1" ht="62.4" customHeight="1" x14ac:dyDescent="0.25">
      <c r="A46" s="118" t="s">
        <v>147</v>
      </c>
      <c r="B46" s="45" t="s">
        <v>23</v>
      </c>
      <c r="C46" s="28" t="s">
        <v>88</v>
      </c>
      <c r="D46" s="46" t="s">
        <v>310</v>
      </c>
      <c r="E46" s="28" t="s">
        <v>28</v>
      </c>
      <c r="F46" s="143">
        <f>2+2+2</f>
        <v>6</v>
      </c>
      <c r="G46" s="141" t="s">
        <v>277</v>
      </c>
      <c r="H46" s="216"/>
      <c r="I46" s="200"/>
      <c r="J46" s="209"/>
    </row>
    <row r="47" spans="1:10" s="44" customFormat="1" ht="40.200000000000003" customHeight="1" x14ac:dyDescent="0.25">
      <c r="A47" s="118" t="s">
        <v>148</v>
      </c>
      <c r="B47" s="45" t="s">
        <v>23</v>
      </c>
      <c r="C47" s="28" t="s">
        <v>89</v>
      </c>
      <c r="D47" s="46" t="s">
        <v>353</v>
      </c>
      <c r="E47" s="28" t="s">
        <v>28</v>
      </c>
      <c r="F47" s="112">
        <v>1</v>
      </c>
      <c r="G47" s="46" t="s">
        <v>50</v>
      </c>
      <c r="H47" s="216"/>
      <c r="I47" s="200"/>
      <c r="J47" s="209"/>
    </row>
    <row r="48" spans="1:10" s="44" customFormat="1" ht="61.8" customHeight="1" x14ac:dyDescent="0.25">
      <c r="A48" s="118" t="s">
        <v>149</v>
      </c>
      <c r="B48" s="45" t="s">
        <v>23</v>
      </c>
      <c r="C48" s="28" t="s">
        <v>90</v>
      </c>
      <c r="D48" s="46" t="s">
        <v>91</v>
      </c>
      <c r="E48" s="28" t="s">
        <v>28</v>
      </c>
      <c r="F48" s="143">
        <f>1+1</f>
        <v>2</v>
      </c>
      <c r="G48" s="141" t="s">
        <v>212</v>
      </c>
      <c r="H48" s="216"/>
      <c r="I48" s="200"/>
      <c r="J48" s="209"/>
    </row>
    <row r="49" spans="1:10" s="44" customFormat="1" ht="50.4" customHeight="1" x14ac:dyDescent="0.25">
      <c r="A49" s="118" t="s">
        <v>355</v>
      </c>
      <c r="B49" s="45" t="s">
        <v>23</v>
      </c>
      <c r="C49" s="28" t="s">
        <v>92</v>
      </c>
      <c r="D49" s="46" t="s">
        <v>93</v>
      </c>
      <c r="E49" s="28" t="s">
        <v>28</v>
      </c>
      <c r="F49" s="143">
        <f>1+1</f>
        <v>2</v>
      </c>
      <c r="G49" s="141" t="s">
        <v>213</v>
      </c>
      <c r="H49" s="216"/>
      <c r="I49" s="200"/>
      <c r="J49" s="209"/>
    </row>
    <row r="50" spans="1:10" s="44" customFormat="1" ht="37.799999999999997" customHeight="1" x14ac:dyDescent="0.25">
      <c r="A50" s="118" t="s">
        <v>356</v>
      </c>
      <c r="B50" s="45" t="s">
        <v>23</v>
      </c>
      <c r="C50" s="28" t="s">
        <v>98</v>
      </c>
      <c r="D50" s="46" t="s">
        <v>99</v>
      </c>
      <c r="E50" s="28" t="s">
        <v>28</v>
      </c>
      <c r="F50" s="143">
        <f>1+1</f>
        <v>2</v>
      </c>
      <c r="G50" s="141" t="s">
        <v>214</v>
      </c>
      <c r="H50" s="216"/>
      <c r="I50" s="200"/>
      <c r="J50" s="209"/>
    </row>
    <row r="51" spans="1:10" s="44" customFormat="1" ht="89.4" customHeight="1" x14ac:dyDescent="0.25">
      <c r="A51" s="118" t="s">
        <v>357</v>
      </c>
      <c r="B51" s="45" t="s">
        <v>23</v>
      </c>
      <c r="C51" s="28" t="s">
        <v>298</v>
      </c>
      <c r="D51" s="46" t="s">
        <v>354</v>
      </c>
      <c r="E51" s="28" t="s">
        <v>28</v>
      </c>
      <c r="F51" s="143">
        <f>1+1</f>
        <v>2</v>
      </c>
      <c r="G51" s="141" t="s">
        <v>212</v>
      </c>
      <c r="H51" s="216"/>
      <c r="I51" s="200"/>
      <c r="J51" s="209"/>
    </row>
    <row r="52" spans="1:10" s="44" customFormat="1" ht="15" customHeight="1" x14ac:dyDescent="0.25">
      <c r="A52" s="118" t="s">
        <v>358</v>
      </c>
      <c r="B52" s="45" t="s">
        <v>23</v>
      </c>
      <c r="C52" s="28" t="s">
        <v>299</v>
      </c>
      <c r="D52" s="46" t="s">
        <v>300</v>
      </c>
      <c r="E52" s="28" t="s">
        <v>28</v>
      </c>
      <c r="F52" s="112">
        <f>1+1</f>
        <v>2</v>
      </c>
      <c r="G52" s="141" t="s">
        <v>215</v>
      </c>
      <c r="H52" s="216"/>
      <c r="I52" s="200"/>
      <c r="J52" s="209"/>
    </row>
    <row r="53" spans="1:10" s="44" customFormat="1" ht="40.799999999999997" x14ac:dyDescent="0.25">
      <c r="A53" s="118" t="s">
        <v>359</v>
      </c>
      <c r="B53" s="45" t="s">
        <v>23</v>
      </c>
      <c r="C53" s="28" t="s">
        <v>94</v>
      </c>
      <c r="D53" s="46" t="s">
        <v>95</v>
      </c>
      <c r="E53" s="28" t="s">
        <v>28</v>
      </c>
      <c r="F53" s="143">
        <v>4</v>
      </c>
      <c r="G53" s="141" t="s">
        <v>216</v>
      </c>
      <c r="H53" s="216"/>
      <c r="I53" s="200"/>
      <c r="J53" s="209"/>
    </row>
    <row r="54" spans="1:10" s="44" customFormat="1" ht="49.8" customHeight="1" x14ac:dyDescent="0.25">
      <c r="A54" s="118" t="s">
        <v>360</v>
      </c>
      <c r="B54" s="45" t="s">
        <v>23</v>
      </c>
      <c r="C54" s="28" t="s">
        <v>207</v>
      </c>
      <c r="D54" s="46" t="s">
        <v>208</v>
      </c>
      <c r="E54" s="28" t="s">
        <v>28</v>
      </c>
      <c r="F54" s="143">
        <v>2</v>
      </c>
      <c r="G54" s="141" t="s">
        <v>217</v>
      </c>
      <c r="H54" s="216"/>
      <c r="I54" s="200"/>
      <c r="J54" s="209"/>
    </row>
    <row r="55" spans="1:10" s="44" customFormat="1" ht="60" customHeight="1" x14ac:dyDescent="0.25">
      <c r="A55" s="118" t="s">
        <v>361</v>
      </c>
      <c r="B55" s="45" t="s">
        <v>23</v>
      </c>
      <c r="C55" s="28" t="s">
        <v>104</v>
      </c>
      <c r="D55" s="46" t="s">
        <v>105</v>
      </c>
      <c r="E55" s="28" t="s">
        <v>28</v>
      </c>
      <c r="F55" s="143">
        <v>4</v>
      </c>
      <c r="G55" s="141" t="s">
        <v>218</v>
      </c>
      <c r="H55" s="216"/>
      <c r="I55" s="200"/>
      <c r="J55" s="209"/>
    </row>
    <row r="56" spans="1:10" s="44" customFormat="1" ht="19.95" customHeight="1" x14ac:dyDescent="0.25">
      <c r="A56" s="118" t="s">
        <v>362</v>
      </c>
      <c r="B56" s="45" t="s">
        <v>23</v>
      </c>
      <c r="C56" s="28" t="s">
        <v>96</v>
      </c>
      <c r="D56" s="46" t="s">
        <v>97</v>
      </c>
      <c r="E56" s="28" t="s">
        <v>28</v>
      </c>
      <c r="F56" s="112">
        <f t="shared" ref="F56:F61" si="0">1+1</f>
        <v>2</v>
      </c>
      <c r="G56" s="141" t="s">
        <v>212</v>
      </c>
      <c r="H56" s="216"/>
      <c r="I56" s="200"/>
      <c r="J56" s="209"/>
    </row>
    <row r="57" spans="1:10" s="44" customFormat="1" ht="19.95" customHeight="1" x14ac:dyDescent="0.25">
      <c r="A57" s="118" t="s">
        <v>363</v>
      </c>
      <c r="B57" s="45" t="s">
        <v>23</v>
      </c>
      <c r="C57" s="28" t="s">
        <v>283</v>
      </c>
      <c r="D57" s="46" t="s">
        <v>284</v>
      </c>
      <c r="E57" s="28" t="s">
        <v>28</v>
      </c>
      <c r="F57" s="112">
        <f t="shared" si="0"/>
        <v>2</v>
      </c>
      <c r="G57" s="141" t="s">
        <v>212</v>
      </c>
      <c r="H57" s="216"/>
      <c r="I57" s="200"/>
      <c r="J57" s="209"/>
    </row>
    <row r="58" spans="1:10" s="44" customFormat="1" ht="37.799999999999997" customHeight="1" x14ac:dyDescent="0.25">
      <c r="A58" s="118" t="s">
        <v>364</v>
      </c>
      <c r="B58" s="45" t="s">
        <v>23</v>
      </c>
      <c r="C58" s="28" t="s">
        <v>281</v>
      </c>
      <c r="D58" s="46" t="s">
        <v>282</v>
      </c>
      <c r="E58" s="28" t="s">
        <v>28</v>
      </c>
      <c r="F58" s="143">
        <f t="shared" si="0"/>
        <v>2</v>
      </c>
      <c r="G58" s="141" t="s">
        <v>212</v>
      </c>
      <c r="H58" s="216"/>
      <c r="I58" s="200"/>
      <c r="J58" s="209"/>
    </row>
    <row r="59" spans="1:10" s="44" customFormat="1" ht="20.399999999999999" x14ac:dyDescent="0.25">
      <c r="A59" s="118" t="s">
        <v>365</v>
      </c>
      <c r="B59" s="45" t="s">
        <v>23</v>
      </c>
      <c r="C59" s="28" t="s">
        <v>100</v>
      </c>
      <c r="D59" s="46" t="s">
        <v>101</v>
      </c>
      <c r="E59" s="28" t="s">
        <v>28</v>
      </c>
      <c r="F59" s="112">
        <f t="shared" si="0"/>
        <v>2</v>
      </c>
      <c r="G59" s="141" t="s">
        <v>212</v>
      </c>
      <c r="H59" s="216"/>
      <c r="I59" s="200"/>
      <c r="J59" s="209"/>
    </row>
    <row r="60" spans="1:10" s="44" customFormat="1" ht="66" customHeight="1" x14ac:dyDescent="0.25">
      <c r="A60" s="118" t="s">
        <v>366</v>
      </c>
      <c r="B60" s="45" t="s">
        <v>23</v>
      </c>
      <c r="C60" s="28" t="s">
        <v>142</v>
      </c>
      <c r="D60" s="46" t="s">
        <v>143</v>
      </c>
      <c r="E60" s="28" t="s">
        <v>28</v>
      </c>
      <c r="F60" s="112">
        <v>1</v>
      </c>
      <c r="G60" s="46" t="s">
        <v>219</v>
      </c>
      <c r="H60" s="216"/>
      <c r="I60" s="200"/>
      <c r="J60" s="209"/>
    </row>
    <row r="61" spans="1:10" s="44" customFormat="1" ht="45.6" customHeight="1" x14ac:dyDescent="0.25">
      <c r="A61" s="118" t="s">
        <v>367</v>
      </c>
      <c r="B61" s="45" t="s">
        <v>23</v>
      </c>
      <c r="C61" s="28" t="s">
        <v>220</v>
      </c>
      <c r="D61" s="46" t="s">
        <v>221</v>
      </c>
      <c r="E61" s="28" t="s">
        <v>28</v>
      </c>
      <c r="F61" s="143">
        <f t="shared" si="0"/>
        <v>2</v>
      </c>
      <c r="G61" s="141" t="s">
        <v>212</v>
      </c>
      <c r="H61" s="216"/>
      <c r="I61" s="200"/>
      <c r="J61" s="209"/>
    </row>
    <row r="62" spans="1:10" s="49" customFormat="1" ht="10.199999999999999" x14ac:dyDescent="0.25">
      <c r="A62" s="151">
        <v>10</v>
      </c>
      <c r="B62" s="48"/>
      <c r="C62" s="43"/>
      <c r="D62" s="47" t="s">
        <v>108</v>
      </c>
      <c r="E62" s="43"/>
      <c r="F62" s="33"/>
      <c r="G62" s="91"/>
      <c r="H62" s="217"/>
      <c r="I62" s="201"/>
      <c r="J62" s="91"/>
    </row>
    <row r="63" spans="1:10" s="44" customFormat="1" ht="29.4" customHeight="1" x14ac:dyDescent="0.25">
      <c r="A63" s="118" t="s">
        <v>57</v>
      </c>
      <c r="B63" s="45" t="s">
        <v>23</v>
      </c>
      <c r="C63" s="28" t="s">
        <v>110</v>
      </c>
      <c r="D63" s="46" t="s">
        <v>368</v>
      </c>
      <c r="E63" s="28" t="s">
        <v>35</v>
      </c>
      <c r="F63" s="143">
        <f>(1.65-0.3)</f>
        <v>1.3499999999999999</v>
      </c>
      <c r="G63" s="141" t="s">
        <v>222</v>
      </c>
      <c r="H63" s="216"/>
      <c r="I63" s="200"/>
      <c r="J63" s="209"/>
    </row>
    <row r="64" spans="1:10" s="44" customFormat="1" ht="29.4" customHeight="1" x14ac:dyDescent="0.25">
      <c r="A64" s="118" t="s">
        <v>58</v>
      </c>
      <c r="B64" s="45" t="s">
        <v>23</v>
      </c>
      <c r="C64" s="28" t="s">
        <v>111</v>
      </c>
      <c r="D64" s="46" t="s">
        <v>369</v>
      </c>
      <c r="E64" s="28" t="s">
        <v>35</v>
      </c>
      <c r="F64" s="143">
        <f>(1.65-0.3)+((1.6-0.3)*2)</f>
        <v>3.95</v>
      </c>
      <c r="G64" s="141" t="s">
        <v>223</v>
      </c>
      <c r="H64" s="216"/>
      <c r="I64" s="200"/>
      <c r="J64" s="209"/>
    </row>
    <row r="65" spans="1:10" s="44" customFormat="1" ht="29.4" customHeight="1" x14ac:dyDescent="0.25">
      <c r="A65" s="118" t="s">
        <v>137</v>
      </c>
      <c r="B65" s="45" t="s">
        <v>23</v>
      </c>
      <c r="C65" s="28" t="s">
        <v>239</v>
      </c>
      <c r="D65" s="46" t="s">
        <v>370</v>
      </c>
      <c r="E65" s="28" t="s">
        <v>35</v>
      </c>
      <c r="F65" s="143">
        <f>(1.65*2)+((1.6-0.3)*2)</f>
        <v>5.9</v>
      </c>
      <c r="G65" s="141" t="s">
        <v>240</v>
      </c>
      <c r="H65" s="216"/>
      <c r="I65" s="200"/>
      <c r="J65" s="209"/>
    </row>
    <row r="66" spans="1:10" s="44" customFormat="1" ht="29.4" customHeight="1" x14ac:dyDescent="0.25">
      <c r="A66" s="118" t="s">
        <v>140</v>
      </c>
      <c r="B66" s="45" t="s">
        <v>23</v>
      </c>
      <c r="C66" s="28" t="s">
        <v>112</v>
      </c>
      <c r="D66" s="46" t="s">
        <v>371</v>
      </c>
      <c r="E66" s="28" t="s">
        <v>35</v>
      </c>
      <c r="F66" s="143">
        <f>2.8+0.1+0.8</f>
        <v>3.7</v>
      </c>
      <c r="G66" s="141" t="s">
        <v>224</v>
      </c>
      <c r="H66" s="216"/>
      <c r="I66" s="200"/>
      <c r="J66" s="209"/>
    </row>
    <row r="67" spans="1:10" s="49" customFormat="1" ht="10.199999999999999" x14ac:dyDescent="0.25">
      <c r="A67" s="151">
        <v>11</v>
      </c>
      <c r="B67" s="48"/>
      <c r="C67" s="43"/>
      <c r="D67" s="47" t="s">
        <v>44</v>
      </c>
      <c r="E67" s="43"/>
      <c r="F67" s="33"/>
      <c r="G67" s="91"/>
      <c r="H67" s="217"/>
      <c r="I67" s="201"/>
      <c r="J67" s="91"/>
    </row>
    <row r="68" spans="1:10" s="145" customFormat="1" ht="53.4" customHeight="1" x14ac:dyDescent="0.25">
      <c r="A68" s="152" t="s">
        <v>61</v>
      </c>
      <c r="B68" s="144" t="s">
        <v>23</v>
      </c>
      <c r="C68" s="142" t="s">
        <v>304</v>
      </c>
      <c r="D68" s="141" t="s">
        <v>303</v>
      </c>
      <c r="E68" s="142" t="s">
        <v>28</v>
      </c>
      <c r="F68" s="143">
        <v>1</v>
      </c>
      <c r="G68" s="141" t="s">
        <v>372</v>
      </c>
      <c r="H68" s="218"/>
      <c r="I68" s="139"/>
      <c r="J68" s="139"/>
    </row>
    <row r="69" spans="1:10" s="145" customFormat="1" ht="20.399999999999999" x14ac:dyDescent="0.25">
      <c r="A69" s="152" t="s">
        <v>62</v>
      </c>
      <c r="B69" s="144" t="s">
        <v>23</v>
      </c>
      <c r="C69" s="142" t="s">
        <v>115</v>
      </c>
      <c r="D69" s="141" t="s">
        <v>116</v>
      </c>
      <c r="E69" s="142" t="s">
        <v>28</v>
      </c>
      <c r="F69" s="143">
        <v>1</v>
      </c>
      <c r="G69" s="141" t="s">
        <v>226</v>
      </c>
      <c r="H69" s="218"/>
      <c r="I69" s="139"/>
      <c r="J69" s="139"/>
    </row>
    <row r="70" spans="1:10" s="44" customFormat="1" ht="29.4" customHeight="1" x14ac:dyDescent="0.25">
      <c r="A70" s="152" t="s">
        <v>63</v>
      </c>
      <c r="B70" s="45" t="s">
        <v>23</v>
      </c>
      <c r="C70" s="28" t="s">
        <v>373</v>
      </c>
      <c r="D70" s="46" t="s">
        <v>374</v>
      </c>
      <c r="E70" s="28" t="s">
        <v>28</v>
      </c>
      <c r="F70" s="143">
        <v>1</v>
      </c>
      <c r="G70" s="141" t="s">
        <v>225</v>
      </c>
      <c r="H70" s="216"/>
      <c r="I70" s="200"/>
      <c r="J70" s="209"/>
    </row>
    <row r="71" spans="1:10" s="44" customFormat="1" ht="29.4" customHeight="1" x14ac:dyDescent="0.25">
      <c r="A71" s="152" t="s">
        <v>64</v>
      </c>
      <c r="B71" s="45" t="s">
        <v>23</v>
      </c>
      <c r="C71" s="28" t="s">
        <v>375</v>
      </c>
      <c r="D71" s="46" t="s">
        <v>376</v>
      </c>
      <c r="E71" s="28" t="s">
        <v>28</v>
      </c>
      <c r="F71" s="143">
        <v>1</v>
      </c>
      <c r="G71" s="141" t="s">
        <v>227</v>
      </c>
      <c r="H71" s="216"/>
      <c r="I71" s="200"/>
      <c r="J71" s="209"/>
    </row>
    <row r="72" spans="1:10" s="145" customFormat="1" ht="85.2" customHeight="1" x14ac:dyDescent="0.25">
      <c r="A72" s="152" t="s">
        <v>379</v>
      </c>
      <c r="B72" s="144" t="s">
        <v>23</v>
      </c>
      <c r="C72" s="142" t="s">
        <v>113</v>
      </c>
      <c r="D72" s="141" t="s">
        <v>305</v>
      </c>
      <c r="E72" s="142" t="s">
        <v>28</v>
      </c>
      <c r="F72" s="143">
        <f>1+1</f>
        <v>2</v>
      </c>
      <c r="G72" s="141" t="s">
        <v>228</v>
      </c>
      <c r="H72" s="218"/>
      <c r="I72" s="139"/>
      <c r="J72" s="139"/>
    </row>
    <row r="73" spans="1:10" s="145" customFormat="1" ht="85.2" customHeight="1" x14ac:dyDescent="0.25">
      <c r="A73" s="152" t="s">
        <v>380</v>
      </c>
      <c r="B73" s="144" t="s">
        <v>23</v>
      </c>
      <c r="C73" s="142" t="s">
        <v>136</v>
      </c>
      <c r="D73" s="141" t="s">
        <v>306</v>
      </c>
      <c r="E73" s="142" t="s">
        <v>28</v>
      </c>
      <c r="F73" s="143">
        <f>1+1</f>
        <v>2</v>
      </c>
      <c r="G73" s="141" t="s">
        <v>228</v>
      </c>
      <c r="H73" s="218"/>
      <c r="I73" s="139"/>
      <c r="J73" s="139"/>
    </row>
    <row r="74" spans="1:10" s="145" customFormat="1" ht="91.8" x14ac:dyDescent="0.25">
      <c r="A74" s="152" t="s">
        <v>381</v>
      </c>
      <c r="B74" s="144" t="s">
        <v>23</v>
      </c>
      <c r="C74" s="142" t="s">
        <v>114</v>
      </c>
      <c r="D74" s="141" t="s">
        <v>307</v>
      </c>
      <c r="E74" s="142" t="s">
        <v>28</v>
      </c>
      <c r="F74" s="143">
        <f>1+1</f>
        <v>2</v>
      </c>
      <c r="G74" s="141" t="s">
        <v>228</v>
      </c>
      <c r="H74" s="218"/>
      <c r="I74" s="139"/>
      <c r="J74" s="139"/>
    </row>
    <row r="75" spans="1:10" s="145" customFormat="1" ht="45.6" customHeight="1" x14ac:dyDescent="0.25">
      <c r="A75" s="152" t="s">
        <v>382</v>
      </c>
      <c r="B75" s="144" t="s">
        <v>23</v>
      </c>
      <c r="C75" s="142" t="s">
        <v>377</v>
      </c>
      <c r="D75" s="141" t="s">
        <v>378</v>
      </c>
      <c r="E75" s="142" t="s">
        <v>28</v>
      </c>
      <c r="F75" s="143">
        <f>1+1</f>
        <v>2</v>
      </c>
      <c r="G75" s="141" t="s">
        <v>228</v>
      </c>
      <c r="H75" s="218"/>
      <c r="I75" s="139"/>
      <c r="J75" s="139"/>
    </row>
    <row r="76" spans="1:10" s="49" customFormat="1" ht="10.199999999999999" x14ac:dyDescent="0.25">
      <c r="A76" s="151">
        <v>12</v>
      </c>
      <c r="B76" s="45"/>
      <c r="C76" s="43"/>
      <c r="D76" s="47" t="s">
        <v>102</v>
      </c>
      <c r="E76" s="28"/>
      <c r="F76" s="112"/>
      <c r="G76" s="45"/>
      <c r="H76" s="215"/>
      <c r="I76" s="200"/>
      <c r="J76" s="91"/>
    </row>
    <row r="77" spans="1:10" s="49" customFormat="1" ht="37.200000000000003" customHeight="1" x14ac:dyDescent="0.25">
      <c r="A77" s="118" t="s">
        <v>67</v>
      </c>
      <c r="B77" s="45" t="s">
        <v>23</v>
      </c>
      <c r="C77" s="28" t="s">
        <v>209</v>
      </c>
      <c r="D77" s="46" t="s">
        <v>383</v>
      </c>
      <c r="E77" s="28" t="s">
        <v>28</v>
      </c>
      <c r="F77" s="112">
        <v>2</v>
      </c>
      <c r="G77" s="141" t="s">
        <v>296</v>
      </c>
      <c r="H77" s="216"/>
      <c r="I77" s="200"/>
      <c r="J77" s="91"/>
    </row>
    <row r="78" spans="1:10" s="49" customFormat="1" ht="26.4" customHeight="1" x14ac:dyDescent="0.25">
      <c r="A78" s="118" t="s">
        <v>68</v>
      </c>
      <c r="B78" s="45" t="s">
        <v>23</v>
      </c>
      <c r="C78" s="28" t="s">
        <v>106</v>
      </c>
      <c r="D78" s="46" t="s">
        <v>384</v>
      </c>
      <c r="E78" s="28" t="s">
        <v>32</v>
      </c>
      <c r="F78" s="112">
        <f>1.2*0.6*2</f>
        <v>1.44</v>
      </c>
      <c r="G78" s="141" t="s">
        <v>229</v>
      </c>
      <c r="H78" s="216"/>
      <c r="I78" s="200"/>
      <c r="J78" s="91"/>
    </row>
    <row r="79" spans="1:10" s="49" customFormat="1" ht="29.4" customHeight="1" x14ac:dyDescent="0.25">
      <c r="A79" s="118" t="s">
        <v>69</v>
      </c>
      <c r="B79" s="45" t="s">
        <v>23</v>
      </c>
      <c r="C79" s="28" t="s">
        <v>107</v>
      </c>
      <c r="D79" s="46" t="s">
        <v>385</v>
      </c>
      <c r="E79" s="28" t="s">
        <v>32</v>
      </c>
      <c r="F79" s="112">
        <f>1.4*0.8*2</f>
        <v>2.2399999999999998</v>
      </c>
      <c r="G79" s="141" t="s">
        <v>230</v>
      </c>
      <c r="H79" s="216"/>
      <c r="I79" s="200"/>
      <c r="J79" s="91"/>
    </row>
    <row r="80" spans="1:10" s="49" customFormat="1" ht="10.199999999999999" x14ac:dyDescent="0.25">
      <c r="A80" s="151">
        <v>14</v>
      </c>
      <c r="B80" s="45"/>
      <c r="C80" s="43"/>
      <c r="D80" s="47" t="s">
        <v>117</v>
      </c>
      <c r="E80" s="28"/>
      <c r="F80" s="112"/>
      <c r="G80" s="45"/>
      <c r="H80" s="215"/>
      <c r="I80" s="200"/>
      <c r="J80" s="91"/>
    </row>
    <row r="81" spans="1:10" s="212" customFormat="1" ht="40.799999999999997" x14ac:dyDescent="0.25">
      <c r="A81" s="152" t="s">
        <v>75</v>
      </c>
      <c r="B81" s="144" t="s">
        <v>23</v>
      </c>
      <c r="C81" s="142" t="s">
        <v>118</v>
      </c>
      <c r="D81" s="141" t="s">
        <v>386</v>
      </c>
      <c r="E81" s="142" t="s">
        <v>32</v>
      </c>
      <c r="F81" s="140">
        <f>((3.65+2)*2*2)+((1.7+1.6)*4*2.8)+((1.6+1.65+1.3+1.35)*2*1.1)</f>
        <v>72.539999999999992</v>
      </c>
      <c r="G81" s="141" t="s">
        <v>231</v>
      </c>
      <c r="H81" s="218"/>
      <c r="I81" s="139"/>
      <c r="J81" s="211"/>
    </row>
    <row r="82" spans="1:10" s="212" customFormat="1" ht="37.200000000000003" customHeight="1" x14ac:dyDescent="0.25">
      <c r="A82" s="152" t="s">
        <v>151</v>
      </c>
      <c r="B82" s="144" t="s">
        <v>23</v>
      </c>
      <c r="C82" s="142" t="s">
        <v>234</v>
      </c>
      <c r="D82" s="141" t="s">
        <v>387</v>
      </c>
      <c r="E82" s="142" t="s">
        <v>32</v>
      </c>
      <c r="F82" s="140">
        <f>1.7*1.6*2</f>
        <v>5.44</v>
      </c>
      <c r="G82" s="141" t="s">
        <v>235</v>
      </c>
      <c r="H82" s="218"/>
      <c r="I82" s="139"/>
      <c r="J82" s="211"/>
    </row>
    <row r="83" spans="1:10" s="212" customFormat="1" ht="40.799999999999997" x14ac:dyDescent="0.25">
      <c r="A83" s="152" t="s">
        <v>152</v>
      </c>
      <c r="B83" s="144" t="s">
        <v>23</v>
      </c>
      <c r="C83" s="142" t="s">
        <v>232</v>
      </c>
      <c r="D83" s="141" t="s">
        <v>388</v>
      </c>
      <c r="E83" s="142" t="s">
        <v>32</v>
      </c>
      <c r="F83" s="140">
        <f>((3.65+2)*2*2)+((1.7+1.6)*4*2.8)+((1.6+1.65+1.3+1.35)*2*1.1)</f>
        <v>72.539999999999992</v>
      </c>
      <c r="G83" s="141" t="s">
        <v>231</v>
      </c>
      <c r="H83" s="218"/>
      <c r="I83" s="139"/>
      <c r="J83" s="211"/>
    </row>
    <row r="84" spans="1:10" s="212" customFormat="1" ht="40.799999999999997" x14ac:dyDescent="0.25">
      <c r="A84" s="152" t="s">
        <v>258</v>
      </c>
      <c r="B84" s="144" t="s">
        <v>23</v>
      </c>
      <c r="C84" s="142" t="s">
        <v>236</v>
      </c>
      <c r="D84" s="141" t="s">
        <v>389</v>
      </c>
      <c r="E84" s="142" t="s">
        <v>32</v>
      </c>
      <c r="F84" s="140">
        <f>1.7*1.6*2</f>
        <v>5.44</v>
      </c>
      <c r="G84" s="141" t="s">
        <v>235</v>
      </c>
      <c r="H84" s="218"/>
      <c r="I84" s="139"/>
      <c r="J84" s="211"/>
    </row>
    <row r="85" spans="1:10" s="49" customFormat="1" ht="50.4" customHeight="1" x14ac:dyDescent="0.25">
      <c r="A85" s="118" t="s">
        <v>259</v>
      </c>
      <c r="B85" s="45" t="s">
        <v>23</v>
      </c>
      <c r="C85" s="28" t="s">
        <v>119</v>
      </c>
      <c r="D85" s="46" t="s">
        <v>120</v>
      </c>
      <c r="E85" s="28" t="s">
        <v>32</v>
      </c>
      <c r="F85" s="113">
        <f>((1.7+1.6)*4*1.8)</f>
        <v>23.759999999999998</v>
      </c>
      <c r="G85" s="46" t="s">
        <v>233</v>
      </c>
      <c r="H85" s="216"/>
      <c r="I85" s="200"/>
      <c r="J85" s="91"/>
    </row>
    <row r="86" spans="1:10" s="145" customFormat="1" ht="18" customHeight="1" x14ac:dyDescent="0.25">
      <c r="A86" s="152" t="s">
        <v>271</v>
      </c>
      <c r="B86" s="144" t="s">
        <v>23</v>
      </c>
      <c r="C86" s="142" t="s">
        <v>270</v>
      </c>
      <c r="D86" s="141" t="s">
        <v>272</v>
      </c>
      <c r="E86" s="142" t="s">
        <v>32</v>
      </c>
      <c r="F86" s="143">
        <f>1.2*0.15*2</f>
        <v>0.36</v>
      </c>
      <c r="G86" s="141" t="s">
        <v>273</v>
      </c>
      <c r="H86" s="218"/>
      <c r="I86" s="139"/>
      <c r="J86" s="139"/>
    </row>
    <row r="87" spans="1:10" s="49" customFormat="1" ht="10.199999999999999" x14ac:dyDescent="0.25">
      <c r="A87" s="151">
        <v>15</v>
      </c>
      <c r="B87" s="45"/>
      <c r="C87" s="43"/>
      <c r="D87" s="47" t="s">
        <v>127</v>
      </c>
      <c r="E87" s="28"/>
      <c r="F87" s="112"/>
      <c r="G87" s="45"/>
      <c r="H87" s="215"/>
      <c r="I87" s="200"/>
      <c r="J87" s="91"/>
    </row>
    <row r="88" spans="1:10" s="212" customFormat="1" ht="39" customHeight="1" x14ac:dyDescent="0.25">
      <c r="A88" s="152" t="s">
        <v>77</v>
      </c>
      <c r="B88" s="144" t="s">
        <v>23</v>
      </c>
      <c r="C88" s="142" t="s">
        <v>393</v>
      </c>
      <c r="D88" s="141" t="s">
        <v>394</v>
      </c>
      <c r="E88" s="142" t="s">
        <v>32</v>
      </c>
      <c r="F88" s="140">
        <f>1.2*0.6*2</f>
        <v>1.44</v>
      </c>
      <c r="G88" s="141" t="s">
        <v>237</v>
      </c>
      <c r="H88" s="218"/>
      <c r="I88" s="139"/>
      <c r="J88" s="211"/>
    </row>
    <row r="89" spans="1:10" s="212" customFormat="1" ht="43.2" customHeight="1" x14ac:dyDescent="0.25">
      <c r="A89" s="152" t="s">
        <v>135</v>
      </c>
      <c r="B89" s="144" t="s">
        <v>23</v>
      </c>
      <c r="C89" s="142" t="s">
        <v>128</v>
      </c>
      <c r="D89" s="141" t="s">
        <v>395</v>
      </c>
      <c r="E89" s="142" t="s">
        <v>28</v>
      </c>
      <c r="F89" s="140">
        <f>1+1</f>
        <v>2</v>
      </c>
      <c r="G89" s="141" t="s">
        <v>228</v>
      </c>
      <c r="H89" s="218"/>
      <c r="I89" s="139"/>
      <c r="J89" s="211"/>
    </row>
    <row r="90" spans="1:10" s="49" customFormat="1" ht="10.199999999999999" x14ac:dyDescent="0.25">
      <c r="A90" s="151">
        <v>18</v>
      </c>
      <c r="B90" s="45"/>
      <c r="C90" s="43"/>
      <c r="D90" s="47" t="s">
        <v>46</v>
      </c>
      <c r="E90" s="28"/>
      <c r="F90" s="112"/>
      <c r="G90" s="45"/>
      <c r="H90" s="215"/>
      <c r="I90" s="200"/>
      <c r="J90" s="91"/>
    </row>
    <row r="91" spans="1:10" s="49" customFormat="1" ht="29.4" customHeight="1" x14ac:dyDescent="0.25">
      <c r="A91" s="118" t="s">
        <v>103</v>
      </c>
      <c r="B91" s="45" t="s">
        <v>23</v>
      </c>
      <c r="C91" s="28" t="s">
        <v>243</v>
      </c>
      <c r="D91" s="46" t="s">
        <v>244</v>
      </c>
      <c r="E91" s="28" t="s">
        <v>32</v>
      </c>
      <c r="F91" s="112">
        <f>(3.65*1.5)</f>
        <v>5.4749999999999996</v>
      </c>
      <c r="G91" s="141" t="s">
        <v>204</v>
      </c>
      <c r="H91" s="216"/>
      <c r="I91" s="200"/>
      <c r="J91" s="91"/>
    </row>
    <row r="92" spans="1:10" s="49" customFormat="1" ht="29.4" customHeight="1" x14ac:dyDescent="0.25">
      <c r="A92" s="118" t="s">
        <v>260</v>
      </c>
      <c r="B92" s="45" t="s">
        <v>23</v>
      </c>
      <c r="C92" s="28" t="s">
        <v>49</v>
      </c>
      <c r="D92" s="46" t="s">
        <v>51</v>
      </c>
      <c r="E92" s="28" t="s">
        <v>32</v>
      </c>
      <c r="F92" s="112">
        <f>(3.65*1.5)</f>
        <v>5.4749999999999996</v>
      </c>
      <c r="G92" s="141" t="s">
        <v>204</v>
      </c>
      <c r="H92" s="216"/>
      <c r="I92" s="200"/>
      <c r="J92" s="91"/>
    </row>
    <row r="93" spans="1:10" s="49" customFormat="1" ht="29.4" customHeight="1" x14ac:dyDescent="0.25">
      <c r="A93" s="118" t="s">
        <v>261</v>
      </c>
      <c r="B93" s="45" t="s">
        <v>23</v>
      </c>
      <c r="C93" s="28" t="s">
        <v>129</v>
      </c>
      <c r="D93" s="46" t="s">
        <v>130</v>
      </c>
      <c r="E93" s="28" t="s">
        <v>32</v>
      </c>
      <c r="F93" s="112">
        <f>F81-F85</f>
        <v>48.779999999999994</v>
      </c>
      <c r="G93" s="141" t="s">
        <v>275</v>
      </c>
      <c r="H93" s="216"/>
      <c r="I93" s="200"/>
      <c r="J93" s="91"/>
    </row>
    <row r="94" spans="1:10" s="49" customFormat="1" ht="29.4" customHeight="1" x14ac:dyDescent="0.25">
      <c r="A94" s="118" t="s">
        <v>262</v>
      </c>
      <c r="B94" s="45" t="s">
        <v>23</v>
      </c>
      <c r="C94" s="28" t="s">
        <v>248</v>
      </c>
      <c r="D94" s="46" t="s">
        <v>249</v>
      </c>
      <c r="E94" s="28" t="s">
        <v>32</v>
      </c>
      <c r="F94" s="112">
        <f>(1.7+1.6)*4*1</f>
        <v>13.2</v>
      </c>
      <c r="G94" s="141" t="s">
        <v>247</v>
      </c>
      <c r="H94" s="216"/>
      <c r="I94" s="200"/>
      <c r="J94" s="91"/>
    </row>
    <row r="95" spans="1:10" s="49" customFormat="1" ht="29.4" customHeight="1" x14ac:dyDescent="0.25">
      <c r="A95" s="118" t="s">
        <v>263</v>
      </c>
      <c r="B95" s="45" t="s">
        <v>23</v>
      </c>
      <c r="C95" s="28" t="s">
        <v>241</v>
      </c>
      <c r="D95" s="46" t="s">
        <v>242</v>
      </c>
      <c r="E95" s="28" t="s">
        <v>32</v>
      </c>
      <c r="F95" s="112">
        <f>(1.7+1.6)*4*1</f>
        <v>13.2</v>
      </c>
      <c r="G95" s="141" t="s">
        <v>247</v>
      </c>
      <c r="H95" s="216"/>
      <c r="I95" s="200"/>
      <c r="J95" s="91"/>
    </row>
    <row r="96" spans="1:10" s="49" customFormat="1" ht="29.4" customHeight="1" x14ac:dyDescent="0.25">
      <c r="A96" s="118" t="s">
        <v>264</v>
      </c>
      <c r="B96" s="45" t="s">
        <v>23</v>
      </c>
      <c r="C96" s="28" t="s">
        <v>250</v>
      </c>
      <c r="D96" s="46" t="s">
        <v>251</v>
      </c>
      <c r="E96" s="28" t="s">
        <v>32</v>
      </c>
      <c r="F96" s="112">
        <f>F93-F94</f>
        <v>35.58</v>
      </c>
      <c r="G96" s="141" t="s">
        <v>274</v>
      </c>
      <c r="H96" s="216"/>
      <c r="I96" s="200"/>
      <c r="J96" s="91"/>
    </row>
    <row r="97" spans="1:10" s="49" customFormat="1" ht="29.4" customHeight="1" x14ac:dyDescent="0.25">
      <c r="A97" s="118" t="s">
        <v>265</v>
      </c>
      <c r="B97" s="45" t="s">
        <v>23</v>
      </c>
      <c r="C97" s="28" t="s">
        <v>246</v>
      </c>
      <c r="D97" s="46" t="s">
        <v>268</v>
      </c>
      <c r="E97" s="28" t="s">
        <v>32</v>
      </c>
      <c r="F97" s="112">
        <f>1.7*1.6*2</f>
        <v>5.44</v>
      </c>
      <c r="G97" s="141" t="s">
        <v>235</v>
      </c>
      <c r="H97" s="216"/>
      <c r="I97" s="200"/>
      <c r="J97" s="91"/>
    </row>
    <row r="98" spans="1:10" s="49" customFormat="1" ht="29.4" customHeight="1" x14ac:dyDescent="0.25">
      <c r="A98" s="118" t="s">
        <v>266</v>
      </c>
      <c r="B98" s="45" t="s">
        <v>23</v>
      </c>
      <c r="C98" s="28" t="s">
        <v>252</v>
      </c>
      <c r="D98" s="46" t="s">
        <v>253</v>
      </c>
      <c r="E98" s="28" t="s">
        <v>32</v>
      </c>
      <c r="F98" s="112">
        <f>1.7*1.6*2</f>
        <v>5.44</v>
      </c>
      <c r="G98" s="141" t="s">
        <v>235</v>
      </c>
      <c r="H98" s="216"/>
      <c r="I98" s="200"/>
      <c r="J98" s="91"/>
    </row>
    <row r="99" spans="1:10" s="49" customFormat="1" ht="36.6" customHeight="1" x14ac:dyDescent="0.25">
      <c r="A99" s="118" t="s">
        <v>267</v>
      </c>
      <c r="B99" s="45" t="s">
        <v>23</v>
      </c>
      <c r="C99" s="28" t="s">
        <v>131</v>
      </c>
      <c r="D99" s="46" t="s">
        <v>132</v>
      </c>
      <c r="E99" s="28" t="s">
        <v>32</v>
      </c>
      <c r="F99" s="143">
        <f>(0.9*2.1*2*2)+(1.2*0.6*2*2)+(1.4*0.8*2*2)</f>
        <v>14.920000000000002</v>
      </c>
      <c r="G99" s="141" t="s">
        <v>245</v>
      </c>
      <c r="H99" s="216"/>
      <c r="I99" s="200"/>
      <c r="J99" s="91"/>
    </row>
    <row r="100" spans="1:10" s="49" customFormat="1" ht="10.199999999999999" x14ac:dyDescent="0.25">
      <c r="A100" s="151">
        <v>19</v>
      </c>
      <c r="B100" s="48"/>
      <c r="C100" s="43"/>
      <c r="D100" s="47" t="s">
        <v>27</v>
      </c>
      <c r="E100" s="43"/>
      <c r="F100" s="74"/>
      <c r="G100" s="48"/>
      <c r="H100" s="215"/>
      <c r="I100" s="200"/>
      <c r="J100" s="91"/>
    </row>
    <row r="101" spans="1:10" s="145" customFormat="1" ht="26.4" customHeight="1" x14ac:dyDescent="0.25">
      <c r="A101" s="118" t="s">
        <v>109</v>
      </c>
      <c r="B101" s="144" t="s">
        <v>23</v>
      </c>
      <c r="C101" s="142" t="s">
        <v>40</v>
      </c>
      <c r="D101" s="141" t="s">
        <v>41</v>
      </c>
      <c r="E101" s="142" t="s">
        <v>32</v>
      </c>
      <c r="F101" s="140">
        <f>(1.6*1.7*2)+(3.65*1.5)</f>
        <v>10.914999999999999</v>
      </c>
      <c r="G101" s="141" t="s">
        <v>202</v>
      </c>
      <c r="H101" s="215"/>
      <c r="I101" s="200"/>
      <c r="J101" s="139"/>
    </row>
    <row r="102" spans="1:10" s="10" customFormat="1" x14ac:dyDescent="0.25">
      <c r="A102" s="94"/>
      <c r="B102" s="3"/>
      <c r="C102" s="2"/>
      <c r="D102" s="11"/>
      <c r="E102" s="3"/>
      <c r="F102" s="95"/>
      <c r="G102" s="96"/>
      <c r="H102" s="58"/>
      <c r="I102" s="58"/>
    </row>
    <row r="103" spans="1:10" s="10" customFormat="1" x14ac:dyDescent="0.25">
      <c r="A103" s="94"/>
      <c r="B103" s="3"/>
      <c r="C103" s="2"/>
      <c r="D103" s="11"/>
      <c r="E103" s="3"/>
      <c r="F103" s="95"/>
      <c r="G103" s="96"/>
      <c r="H103" s="58"/>
      <c r="I103" s="58"/>
    </row>
    <row r="104" spans="1:10" s="10" customFormat="1" x14ac:dyDescent="0.25">
      <c r="A104" s="94"/>
      <c r="B104" s="3"/>
      <c r="C104" s="2"/>
      <c r="D104" s="11"/>
      <c r="E104" s="3"/>
      <c r="F104" s="95"/>
      <c r="G104" s="96"/>
      <c r="H104" s="58"/>
      <c r="I104" s="58"/>
    </row>
    <row r="105" spans="1:10" s="10" customFormat="1" x14ac:dyDescent="0.25">
      <c r="A105" s="94"/>
      <c r="B105" s="13"/>
      <c r="C105" s="2"/>
      <c r="D105" s="50" t="s">
        <v>21</v>
      </c>
      <c r="E105" s="3"/>
      <c r="F105" s="95"/>
      <c r="G105" s="220" t="s">
        <v>288</v>
      </c>
      <c r="H105" s="58"/>
      <c r="I105" s="58"/>
    </row>
    <row r="106" spans="1:10" s="10" customFormat="1" x14ac:dyDescent="0.25">
      <c r="A106" s="17"/>
      <c r="B106" s="13"/>
      <c r="C106" s="13"/>
      <c r="D106" s="93" t="s">
        <v>54</v>
      </c>
      <c r="E106" s="3"/>
      <c r="F106" s="95"/>
      <c r="G106" s="222" t="s">
        <v>308</v>
      </c>
      <c r="H106" s="58"/>
      <c r="I106" s="58"/>
    </row>
    <row r="107" spans="1:10" s="10" customFormat="1" ht="13.8" x14ac:dyDescent="0.25">
      <c r="A107" s="94"/>
      <c r="B107" s="3"/>
      <c r="C107" s="3"/>
      <c r="D107" s="3" t="s">
        <v>55</v>
      </c>
      <c r="E107" s="3"/>
      <c r="F107" s="95"/>
      <c r="G107" s="107" t="s">
        <v>309</v>
      </c>
      <c r="H107" s="58"/>
      <c r="I107" s="58"/>
    </row>
    <row r="108" spans="1:10" s="10" customFormat="1" x14ac:dyDescent="0.25">
      <c r="A108" s="94"/>
      <c r="B108" s="3"/>
      <c r="C108" s="3"/>
      <c r="D108" s="36"/>
      <c r="E108" s="3"/>
      <c r="F108" s="95"/>
      <c r="G108" s="107"/>
      <c r="H108" s="58"/>
      <c r="I108" s="58"/>
    </row>
    <row r="109" spans="1:10" s="10" customFormat="1" x14ac:dyDescent="0.25">
      <c r="A109" s="94"/>
      <c r="B109" s="3"/>
      <c r="C109" s="3"/>
      <c r="D109" s="36"/>
      <c r="E109" s="3"/>
      <c r="F109" s="95"/>
      <c r="G109" s="107"/>
      <c r="H109" s="58"/>
      <c r="I109" s="58"/>
    </row>
    <row r="110" spans="1:10" s="10" customFormat="1" x14ac:dyDescent="0.25">
      <c r="A110" s="97"/>
      <c r="B110" s="16"/>
      <c r="C110" s="16"/>
      <c r="D110" s="123"/>
      <c r="E110" s="16"/>
      <c r="F110" s="98"/>
      <c r="G110" s="99"/>
      <c r="H110" s="58"/>
      <c r="I110" s="58"/>
    </row>
    <row r="119" spans="7:7" x14ac:dyDescent="0.25">
      <c r="G119" s="36"/>
    </row>
    <row r="120" spans="7:7" x14ac:dyDescent="0.25">
      <c r="G120" s="36"/>
    </row>
    <row r="121" spans="7:7" x14ac:dyDescent="0.25">
      <c r="G121" s="36"/>
    </row>
  </sheetData>
  <autoFilter ref="A7:J101" xr:uid="{00000000-0009-0000-0000-000001000000}"/>
  <mergeCells count="1">
    <mergeCell ref="A1:G1"/>
  </mergeCells>
  <phoneticPr fontId="21" type="noConversion"/>
  <printOptions horizontalCentered="1"/>
  <pageMargins left="0" right="0" top="0.39370078740157483" bottom="0" header="0" footer="0"/>
  <pageSetup paperSize="9" scale="81" fitToHeight="7" orientation="landscape" r:id="rId1"/>
  <headerFooter alignWithMargins="0">
    <oddFooter>&amp;CPágina &amp;P de &amp;N</oddFooter>
  </headerFooter>
  <rowBreaks count="5" manualBreakCount="5">
    <brk id="25" max="6" man="1"/>
    <brk id="42" max="6" man="1"/>
    <brk id="55" max="6" man="1"/>
    <brk id="72" max="6" man="1"/>
    <brk id="86" max="6" man="1"/>
  </rowBreaks>
  <ignoredErrors>
    <ignoredError sqref="F82:F83"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3"/>
  <sheetViews>
    <sheetView showGridLines="0" view="pageBreakPreview" zoomScaleNormal="75" zoomScaleSheetLayoutView="100" workbookViewId="0">
      <pane xSplit="3" ySplit="9" topLeftCell="D37" activePane="bottomRight" state="frozen"/>
      <selection pane="topRight" activeCell="D1" sqref="D1"/>
      <selection pane="bottomLeft" activeCell="A10" sqref="A10"/>
      <selection pane="bottomRight" activeCell="F1" sqref="A1:F51"/>
    </sheetView>
  </sheetViews>
  <sheetFormatPr defaultColWidth="9.109375" defaultRowHeight="13.2" x14ac:dyDescent="0.25"/>
  <cols>
    <col min="1" max="1" width="6.109375" style="10" customWidth="1"/>
    <col min="2" max="2" width="36.6640625" style="42" customWidth="1"/>
    <col min="3" max="3" width="17" style="10" customWidth="1"/>
    <col min="4" max="6" width="12.6640625" style="10" customWidth="1"/>
    <col min="7" max="7" width="9.109375" style="10"/>
    <col min="8" max="8" width="15.88671875" style="10" customWidth="1"/>
    <col min="9" max="16384" width="9.109375" style="10"/>
  </cols>
  <sheetData>
    <row r="1" spans="1:7" ht="60" customHeight="1" x14ac:dyDescent="0.25">
      <c r="A1" s="22"/>
      <c r="B1" s="55"/>
      <c r="C1" s="52"/>
      <c r="D1" s="52"/>
      <c r="E1" s="52"/>
      <c r="F1" s="267"/>
    </row>
    <row r="2" spans="1:7" ht="3" customHeight="1" x14ac:dyDescent="0.25">
      <c r="A2" s="22"/>
      <c r="B2" s="55"/>
      <c r="C2" s="52"/>
      <c r="D2" s="52"/>
      <c r="E2" s="52"/>
      <c r="F2" s="267"/>
    </row>
    <row r="3" spans="1:7" x14ac:dyDescent="0.25">
      <c r="A3" s="250" t="s">
        <v>37</v>
      </c>
      <c r="B3" s="251"/>
      <c r="C3" s="251"/>
      <c r="D3" s="251"/>
      <c r="E3" s="251"/>
      <c r="F3" s="268"/>
      <c r="G3" s="13"/>
    </row>
    <row r="4" spans="1:7" ht="3" customHeight="1" x14ac:dyDescent="0.25">
      <c r="A4" s="23"/>
      <c r="B4" s="39"/>
      <c r="C4" s="1"/>
      <c r="D4" s="1"/>
      <c r="E4" s="1"/>
      <c r="F4" s="269"/>
      <c r="G4" s="13"/>
    </row>
    <row r="5" spans="1:7" x14ac:dyDescent="0.25">
      <c r="A5" s="23" t="str">
        <f>'PLAN ORÇ'!B5</f>
        <v>PREFEITURA MUNICIPAL DE SENHORA DOS REMÉDIOS</v>
      </c>
      <c r="B5" s="39"/>
      <c r="C5" s="184"/>
      <c r="D5" s="24" t="s">
        <v>10</v>
      </c>
      <c r="E5" s="54"/>
      <c r="F5" s="270">
        <f>'PLAN ORÇ'!J106</f>
        <v>51929.700000000004</v>
      </c>
    </row>
    <row r="6" spans="1:7" x14ac:dyDescent="0.25">
      <c r="A6" s="23" t="str">
        <f>'MM CALC'!A4</f>
        <v xml:space="preserve">OBRA: CONSTRUÇÃO DE 2 BANHEIROS ADAPTADOS </v>
      </c>
      <c r="B6" s="39"/>
      <c r="C6" s="29"/>
      <c r="D6" s="23" t="str">
        <f>'MM CALC'!E3</f>
        <v>DATA: 28/08/2024</v>
      </c>
      <c r="E6" s="29"/>
      <c r="F6" s="271"/>
    </row>
    <row r="7" spans="1:7" x14ac:dyDescent="0.25">
      <c r="A7" s="23" t="str">
        <f>'MM CALC'!A5</f>
        <v>LOCAL: QUADRA DOS CAEIROS, COMUNIDADE DOS CAEIROS - ZONA RURAL SENHORA DOS REMÉDIOS/MG</v>
      </c>
      <c r="B7" s="39"/>
      <c r="C7" s="1"/>
      <c r="D7" s="1"/>
      <c r="E7" s="1"/>
      <c r="F7" s="269"/>
    </row>
    <row r="8" spans="1:7" x14ac:dyDescent="0.25">
      <c r="A8" s="252" t="s">
        <v>0</v>
      </c>
      <c r="B8" s="248" t="s">
        <v>1</v>
      </c>
      <c r="C8" s="252" t="s">
        <v>25</v>
      </c>
      <c r="D8" s="250" t="s">
        <v>24</v>
      </c>
      <c r="E8" s="251"/>
      <c r="F8" s="268"/>
    </row>
    <row r="9" spans="1:7" x14ac:dyDescent="0.25">
      <c r="A9" s="253"/>
      <c r="B9" s="249"/>
      <c r="C9" s="253"/>
      <c r="D9" s="214" t="s">
        <v>18</v>
      </c>
      <c r="E9" s="214" t="s">
        <v>19</v>
      </c>
      <c r="F9" s="214" t="s">
        <v>405</v>
      </c>
    </row>
    <row r="10" spans="1:7" x14ac:dyDescent="0.25">
      <c r="A10" s="247">
        <f>'PLAN ORÇ'!B13</f>
        <v>1</v>
      </c>
      <c r="B10" s="248" t="str">
        <f>'PLAN ORÇ'!E13</f>
        <v xml:space="preserve">SERVIÇOS PRELIMINARES </v>
      </c>
      <c r="C10" s="21">
        <f>C11/$C$43</f>
        <v>3.3817449359422457E-2</v>
      </c>
      <c r="D10" s="21">
        <v>1</v>
      </c>
      <c r="E10" s="21"/>
      <c r="F10" s="21"/>
    </row>
    <row r="11" spans="1:7" x14ac:dyDescent="0.25">
      <c r="A11" s="247"/>
      <c r="B11" s="249"/>
      <c r="C11" s="19">
        <f>'PLAN ORÇ'!J13</f>
        <v>1756.13</v>
      </c>
      <c r="D11" s="19">
        <f>C11*D10</f>
        <v>1756.13</v>
      </c>
      <c r="E11" s="19"/>
      <c r="F11" s="19"/>
    </row>
    <row r="12" spans="1:7" ht="12.75" customHeight="1" x14ac:dyDescent="0.25">
      <c r="A12" s="247">
        <f>'PLAN ORÇ'!B15</f>
        <v>2</v>
      </c>
      <c r="B12" s="248" t="str">
        <f>'PLAN ORÇ'!E15</f>
        <v>TRABALHOS EM TERRA</v>
      </c>
      <c r="C12" s="21">
        <f>C13/$C$43</f>
        <v>8.4248512893392424E-3</v>
      </c>
      <c r="D12" s="21">
        <v>1</v>
      </c>
      <c r="E12" s="21"/>
      <c r="F12" s="21"/>
    </row>
    <row r="13" spans="1:7" ht="12.6" customHeight="1" x14ac:dyDescent="0.25">
      <c r="A13" s="247"/>
      <c r="B13" s="249"/>
      <c r="C13" s="19">
        <f>'PLAN ORÇ'!J15</f>
        <v>437.5</v>
      </c>
      <c r="D13" s="19">
        <f>C13*D12</f>
        <v>437.5</v>
      </c>
      <c r="E13" s="19"/>
      <c r="F13" s="19"/>
    </row>
    <row r="14" spans="1:7" ht="12.75" customHeight="1" x14ac:dyDescent="0.25">
      <c r="A14" s="247">
        <f>'PLAN ORÇ'!B19</f>
        <v>3</v>
      </c>
      <c r="B14" s="248" t="str">
        <f>'PLAN ORÇ'!E19</f>
        <v>ESTRUTURAS DE CONCRETO ARMADO</v>
      </c>
      <c r="C14" s="21">
        <f>C15/$C$43</f>
        <v>0.10469923762317133</v>
      </c>
      <c r="D14" s="21">
        <v>0.4</v>
      </c>
      <c r="E14" s="21">
        <v>0.6</v>
      </c>
      <c r="F14" s="21"/>
    </row>
    <row r="15" spans="1:7" ht="12.6" customHeight="1" x14ac:dyDescent="0.25">
      <c r="A15" s="247"/>
      <c r="B15" s="249"/>
      <c r="C15" s="19">
        <f>'PLAN ORÇ'!J19</f>
        <v>5437</v>
      </c>
      <c r="D15" s="19">
        <f>C15*D14</f>
        <v>2174.8000000000002</v>
      </c>
      <c r="E15" s="19">
        <f>C15*E14</f>
        <v>3262.2</v>
      </c>
      <c r="F15" s="19"/>
    </row>
    <row r="16" spans="1:7" ht="12.75" customHeight="1" x14ac:dyDescent="0.25">
      <c r="A16" s="247">
        <f>'PLAN ORÇ'!B26</f>
        <v>4</v>
      </c>
      <c r="B16" s="248" t="str">
        <f>'PLAN ORÇ'!E26</f>
        <v>LAJE PRÉ MOLDADA</v>
      </c>
      <c r="C16" s="21">
        <f>C17/$C$43</f>
        <v>2.9530499887347704E-2</v>
      </c>
      <c r="D16" s="21"/>
      <c r="E16" s="21">
        <v>0.7</v>
      </c>
      <c r="F16" s="21">
        <v>0.3</v>
      </c>
    </row>
    <row r="17" spans="1:6" ht="12.6" customHeight="1" x14ac:dyDescent="0.25">
      <c r="A17" s="247"/>
      <c r="B17" s="249"/>
      <c r="C17" s="19">
        <f>'PLAN ORÇ'!J26</f>
        <v>1533.51</v>
      </c>
      <c r="D17" s="19"/>
      <c r="E17" s="19">
        <f>C17*E16</f>
        <v>1073.4569999999999</v>
      </c>
      <c r="F17" s="19">
        <f>C17*F16</f>
        <v>460.053</v>
      </c>
    </row>
    <row r="18" spans="1:6" ht="12.75" customHeight="1" x14ac:dyDescent="0.25">
      <c r="A18" s="247">
        <f>'PLAN ORÇ'!B30</f>
        <v>5</v>
      </c>
      <c r="B18" s="248" t="str">
        <f>'PLAN ORÇ'!E30</f>
        <v>ALVENARIAS E DIVISÕES</v>
      </c>
      <c r="C18" s="21">
        <f>C19/$C$43</f>
        <v>4.8545437389393736E-2</v>
      </c>
      <c r="D18" s="21">
        <v>0.6</v>
      </c>
      <c r="E18" s="21">
        <v>0.4</v>
      </c>
      <c r="F18" s="21"/>
    </row>
    <row r="19" spans="1:6" ht="12.6" customHeight="1" x14ac:dyDescent="0.25">
      <c r="A19" s="247"/>
      <c r="B19" s="249"/>
      <c r="C19" s="19">
        <f>'PLAN ORÇ'!J30</f>
        <v>2520.9499999999998</v>
      </c>
      <c r="D19" s="19">
        <f>C19*D18</f>
        <v>1512.57</v>
      </c>
      <c r="E19" s="19">
        <f>C19*E18</f>
        <v>1008.38</v>
      </c>
      <c r="F19" s="224"/>
    </row>
    <row r="20" spans="1:6" ht="12.75" customHeight="1" x14ac:dyDescent="0.25">
      <c r="A20" s="247">
        <f>'PLAN ORÇ'!B32</f>
        <v>6</v>
      </c>
      <c r="B20" s="248" t="str">
        <f>'PLAN ORÇ'!E32</f>
        <v>CINTAMENTO E VERGAS</v>
      </c>
      <c r="C20" s="21">
        <f>C21/$C$43</f>
        <v>8.202050079241744E-3</v>
      </c>
      <c r="D20" s="21"/>
      <c r="E20" s="21">
        <v>1</v>
      </c>
      <c r="F20" s="21"/>
    </row>
    <row r="21" spans="1:6" ht="12.6" customHeight="1" x14ac:dyDescent="0.25">
      <c r="A21" s="247"/>
      <c r="B21" s="249"/>
      <c r="C21" s="19">
        <f>'PLAN ORÇ'!J32</f>
        <v>425.93</v>
      </c>
      <c r="D21" s="19"/>
      <c r="E21" s="19">
        <f>C21*E20</f>
        <v>425.93</v>
      </c>
      <c r="F21" s="19"/>
    </row>
    <row r="22" spans="1:6" ht="12.75" customHeight="1" x14ac:dyDescent="0.25">
      <c r="A22" s="247">
        <f>'PLAN ORÇ'!B34</f>
        <v>7</v>
      </c>
      <c r="B22" s="248" t="str">
        <f>'PLAN ORÇ'!E34</f>
        <v>CALÇAMENTO / PISO</v>
      </c>
      <c r="C22" s="21">
        <f>C23/$C$43</f>
        <v>4.6318580696595599E-2</v>
      </c>
      <c r="D22" s="21">
        <v>0.2</v>
      </c>
      <c r="E22" s="21">
        <v>0.3</v>
      </c>
      <c r="F22" s="21">
        <v>0.5</v>
      </c>
    </row>
    <row r="23" spans="1:6" ht="12.6" customHeight="1" x14ac:dyDescent="0.25">
      <c r="A23" s="247"/>
      <c r="B23" s="249"/>
      <c r="C23" s="19">
        <f>'PLAN ORÇ'!J34</f>
        <v>2405.3100000000004</v>
      </c>
      <c r="D23" s="19">
        <f>C23*D22</f>
        <v>481.06200000000013</v>
      </c>
      <c r="E23" s="19">
        <f>B23*E22</f>
        <v>0</v>
      </c>
      <c r="F23" s="19">
        <f>C23*F22</f>
        <v>1202.6550000000002</v>
      </c>
    </row>
    <row r="24" spans="1:6" ht="12.75" customHeight="1" x14ac:dyDescent="0.25">
      <c r="A24" s="247">
        <f>'PLAN ORÇ'!B41</f>
        <v>8</v>
      </c>
      <c r="B24" s="248" t="str">
        <f>'PLAN ORÇ'!E41</f>
        <v>COBERTURAS</v>
      </c>
      <c r="C24" s="21">
        <f>C25/$C$43</f>
        <v>7.1296194663169624E-2</v>
      </c>
      <c r="D24" s="21"/>
      <c r="E24" s="21">
        <v>0.3</v>
      </c>
      <c r="F24" s="21">
        <v>0.7</v>
      </c>
    </row>
    <row r="25" spans="1:6" ht="12.6" customHeight="1" x14ac:dyDescent="0.25">
      <c r="A25" s="247"/>
      <c r="B25" s="249"/>
      <c r="C25" s="19">
        <f>'PLAN ORÇ'!J41</f>
        <v>3702.3899999999994</v>
      </c>
      <c r="D25" s="19"/>
      <c r="E25" s="19">
        <f>B25*E24</f>
        <v>0</v>
      </c>
      <c r="F25" s="19">
        <f>C25*F24</f>
        <v>2591.6729999999993</v>
      </c>
    </row>
    <row r="26" spans="1:6" ht="12.75" customHeight="1" x14ac:dyDescent="0.25">
      <c r="A26" s="247">
        <f>'PLAN ORÇ'!B47</f>
        <v>9</v>
      </c>
      <c r="B26" s="248" t="str">
        <f>'PLAN ORÇ'!E47</f>
        <v>INSTALAÇÕES HIDROSSANITÁRIAS</v>
      </c>
      <c r="C26" s="21">
        <f>C27/$C$43</f>
        <v>0.23744851212312032</v>
      </c>
      <c r="D26" s="21">
        <v>0.4</v>
      </c>
      <c r="E26" s="21">
        <v>0.4</v>
      </c>
      <c r="F26" s="21">
        <v>0.2</v>
      </c>
    </row>
    <row r="27" spans="1:6" ht="12.6" customHeight="1" x14ac:dyDescent="0.25">
      <c r="A27" s="247"/>
      <c r="B27" s="249"/>
      <c r="C27" s="19">
        <f>'PLAN ORÇ'!J47</f>
        <v>12330.630000000001</v>
      </c>
      <c r="D27" s="19">
        <f>$C$27*D26</f>
        <v>4932.2520000000004</v>
      </c>
      <c r="E27" s="19">
        <f>C27*E26</f>
        <v>4932.2520000000004</v>
      </c>
      <c r="F27" s="19">
        <f>C27*F26</f>
        <v>2466.1260000000002</v>
      </c>
    </row>
    <row r="28" spans="1:6" ht="12.75" customHeight="1" x14ac:dyDescent="0.25">
      <c r="A28" s="247">
        <f>'PLAN ORÇ'!B66</f>
        <v>10</v>
      </c>
      <c r="B28" s="248" t="str">
        <f>'PLAN ORÇ'!E66</f>
        <v>ÁGUAS PLUVIAIS</v>
      </c>
      <c r="C28" s="21">
        <f>C29/$C$43</f>
        <v>2.2054431279210165E-2</v>
      </c>
      <c r="D28" s="21"/>
      <c r="E28" s="21"/>
      <c r="F28" s="21">
        <v>1</v>
      </c>
    </row>
    <row r="29" spans="1:6" ht="12.6" customHeight="1" x14ac:dyDescent="0.25">
      <c r="A29" s="247"/>
      <c r="B29" s="249"/>
      <c r="C29" s="19">
        <f>'PLAN ORÇ'!J66</f>
        <v>1145.28</v>
      </c>
      <c r="D29" s="19"/>
      <c r="E29" s="19"/>
      <c r="F29" s="19">
        <f>C29*F28</f>
        <v>1145.28</v>
      </c>
    </row>
    <row r="30" spans="1:6" ht="12.75" customHeight="1" x14ac:dyDescent="0.25">
      <c r="A30" s="247">
        <f>'PLAN ORÇ'!B71</f>
        <v>11</v>
      </c>
      <c r="B30" s="248" t="str">
        <f>'PLAN ORÇ'!E71</f>
        <v>INSTALAÇÕES ELÉTRICAS</v>
      </c>
      <c r="C30" s="21">
        <f>C31/$C$43</f>
        <v>0.11145317612079407</v>
      </c>
      <c r="D30" s="21">
        <v>0.2</v>
      </c>
      <c r="E30" s="21">
        <v>0.5</v>
      </c>
      <c r="F30" s="21">
        <v>0.3</v>
      </c>
    </row>
    <row r="31" spans="1:6" ht="12.6" customHeight="1" x14ac:dyDescent="0.25">
      <c r="A31" s="247"/>
      <c r="B31" s="249"/>
      <c r="C31" s="19">
        <f>'PLAN ORÇ'!J71</f>
        <v>5787.73</v>
      </c>
      <c r="D31" s="19">
        <f>$C$31*D30</f>
        <v>1157.546</v>
      </c>
      <c r="E31" s="19">
        <f>C31*E30</f>
        <v>2893.8649999999998</v>
      </c>
      <c r="F31" s="19">
        <f>C31*F30</f>
        <v>1736.3189999999997</v>
      </c>
    </row>
    <row r="32" spans="1:6" ht="12.75" customHeight="1" x14ac:dyDescent="0.25">
      <c r="A32" s="247">
        <f>'PLAN ORÇ'!B80</f>
        <v>12</v>
      </c>
      <c r="B32" s="248" t="str">
        <f>'PLAN ORÇ'!E80</f>
        <v>ESQUADRIAS</v>
      </c>
      <c r="C32" s="21">
        <f>C33/$C$43</f>
        <v>6.6313882036676514E-2</v>
      </c>
      <c r="D32" s="21"/>
      <c r="E32" s="21">
        <v>0.2</v>
      </c>
      <c r="F32" s="21">
        <v>0.8</v>
      </c>
    </row>
    <row r="33" spans="1:8" ht="12.6" customHeight="1" x14ac:dyDescent="0.25">
      <c r="A33" s="247"/>
      <c r="B33" s="249"/>
      <c r="C33" s="19">
        <f>'PLAN ORÇ'!J80</f>
        <v>3443.66</v>
      </c>
      <c r="D33" s="19"/>
      <c r="E33" s="19">
        <f>C33*E32</f>
        <v>688.73199999999997</v>
      </c>
      <c r="F33" s="19">
        <f>C33*F32</f>
        <v>2754.9279999999999</v>
      </c>
    </row>
    <row r="34" spans="1:8" ht="12.75" customHeight="1" x14ac:dyDescent="0.25">
      <c r="A34" s="247">
        <f>'PLAN ORÇ'!B84</f>
        <v>13</v>
      </c>
      <c r="B34" s="248" t="str">
        <f>'PLAN ORÇ'!E84</f>
        <v>REVESTIMENTOS</v>
      </c>
      <c r="C34" s="21">
        <f>C35/$C$43</f>
        <v>0.11962229706699634</v>
      </c>
      <c r="D34" s="21"/>
      <c r="E34" s="21">
        <v>0.6</v>
      </c>
      <c r="F34" s="21">
        <v>0.4</v>
      </c>
    </row>
    <row r="35" spans="1:8" ht="12.6" customHeight="1" x14ac:dyDescent="0.25">
      <c r="A35" s="247"/>
      <c r="B35" s="249"/>
      <c r="C35" s="19">
        <f>'PLAN ORÇ'!J84</f>
        <v>6211.95</v>
      </c>
      <c r="D35" s="19"/>
      <c r="E35" s="19">
        <f>C35*E34</f>
        <v>3727.1699999999996</v>
      </c>
      <c r="F35" s="19">
        <f>C35*F34</f>
        <v>2484.7800000000002</v>
      </c>
    </row>
    <row r="36" spans="1:8" ht="12.75" customHeight="1" x14ac:dyDescent="0.25">
      <c r="A36" s="247">
        <f>'PLAN ORÇ'!B91</f>
        <v>14</v>
      </c>
      <c r="B36" s="248" t="str">
        <f>'PLAN ORÇ'!E91</f>
        <v>VIDRO E ESPELHOS</v>
      </c>
      <c r="C36" s="21">
        <f>C37/$C$43</f>
        <v>1.8296658752120654E-2</v>
      </c>
      <c r="D36" s="21"/>
      <c r="E36" s="21"/>
      <c r="F36" s="21">
        <v>1</v>
      </c>
    </row>
    <row r="37" spans="1:8" ht="12.6" customHeight="1" x14ac:dyDescent="0.25">
      <c r="A37" s="247"/>
      <c r="B37" s="249"/>
      <c r="C37" s="19">
        <f>'PLAN ORÇ'!J91</f>
        <v>950.13999999999987</v>
      </c>
      <c r="D37" s="19"/>
      <c r="E37" s="19"/>
      <c r="F37" s="19">
        <f>C37*F36</f>
        <v>950.13999999999987</v>
      </c>
    </row>
    <row r="38" spans="1:8" ht="12.75" customHeight="1" x14ac:dyDescent="0.25">
      <c r="A38" s="247">
        <v>15</v>
      </c>
      <c r="B38" s="248" t="str">
        <f>'PLAN ORÇ'!E94</f>
        <v>PINTURA</v>
      </c>
      <c r="C38" s="21">
        <f>C39/$C$43</f>
        <v>7.2099781050150497E-2</v>
      </c>
      <c r="D38" s="21"/>
      <c r="E38" s="21">
        <v>0.4</v>
      </c>
      <c r="F38" s="21">
        <v>0.6</v>
      </c>
    </row>
    <row r="39" spans="1:8" ht="12.6" customHeight="1" x14ac:dyDescent="0.25">
      <c r="A39" s="247"/>
      <c r="B39" s="249"/>
      <c r="C39" s="19">
        <f>'PLAN ORÇ'!J94</f>
        <v>3744.12</v>
      </c>
      <c r="D39" s="19"/>
      <c r="E39" s="19">
        <f>C39*E38</f>
        <v>1497.6480000000001</v>
      </c>
      <c r="F39" s="19">
        <f>C39*F38</f>
        <v>2246.4719999999998</v>
      </c>
    </row>
    <row r="40" spans="1:8" ht="12.75" customHeight="1" x14ac:dyDescent="0.25">
      <c r="A40" s="247">
        <v>16</v>
      </c>
      <c r="B40" s="248" t="str">
        <f>'PLAN ORÇ'!E104</f>
        <v>SERVIÇOS FINAIS</v>
      </c>
      <c r="C40" s="21">
        <f>C41/$C$43</f>
        <v>1.8769605832500477E-3</v>
      </c>
      <c r="D40" s="21"/>
      <c r="E40" s="21"/>
      <c r="F40" s="21">
        <v>1</v>
      </c>
    </row>
    <row r="41" spans="1:8" ht="12.6" customHeight="1" x14ac:dyDescent="0.25">
      <c r="A41" s="247"/>
      <c r="B41" s="249"/>
      <c r="C41" s="19">
        <f>'PLAN ORÇ'!J104</f>
        <v>97.47</v>
      </c>
      <c r="D41" s="19"/>
      <c r="E41" s="19"/>
      <c r="F41" s="19">
        <f>C41*F40</f>
        <v>97.47</v>
      </c>
    </row>
    <row r="42" spans="1:8" x14ac:dyDescent="0.25">
      <c r="A42" s="254" t="s">
        <v>8</v>
      </c>
      <c r="B42" s="254"/>
      <c r="C42" s="223">
        <f>C10+C12+C14+C16+C18+C20+C22+C40+C38+C36+C34+C32+C30+C28+C26+C24</f>
        <v>1</v>
      </c>
      <c r="D42" s="223">
        <f>(D10+D12+D14+D16+D18+D20+D22+D40+D38+D36+D34+D32+D30+D28+D26+D24)/16</f>
        <v>0.23750000000000002</v>
      </c>
      <c r="E42" s="223">
        <f>(E10+E12+E14+E16+E18+E20+E22+E40+E38+E36+E34+E32+E30+E28+E26+E24)/16</f>
        <v>0.33749999999999997</v>
      </c>
      <c r="F42" s="223">
        <f>(F10+F12+F14+F16+F18+F20+F22+F40+F38+F36+F34+F32+F30+F28+F26+F24)/16</f>
        <v>0.42499999999999999</v>
      </c>
    </row>
    <row r="43" spans="1:8" x14ac:dyDescent="0.25">
      <c r="A43" s="255"/>
      <c r="B43" s="255"/>
      <c r="C43" s="20">
        <f>C11+C13+C15+C17+C19+C21+C23+C41+C39+C37+C35+C33+C31+C29+C27+C25</f>
        <v>51929.7</v>
      </c>
      <c r="D43" s="20">
        <f>D11+D13+D15+D17+D19+D21+D23+D41+D39+D37+D35+D33+D31+D29+D27+D25</f>
        <v>12451.86</v>
      </c>
      <c r="E43" s="20">
        <f>E11+E13+E15+E17+E19+E21+E23+E41+E39+E37+E35+E33+E31+E29+E27+E25</f>
        <v>19509.633999999998</v>
      </c>
      <c r="F43" s="20">
        <f>F11+F13+F15+F17+F19+F21+F23+F41+F39+F37+F35+F33+F31+F29+F27+F25</f>
        <v>18135.896000000001</v>
      </c>
    </row>
    <row r="44" spans="1:8" x14ac:dyDescent="0.25">
      <c r="A44" s="202"/>
      <c r="B44" s="203"/>
      <c r="C44" s="183"/>
      <c r="D44" s="204"/>
      <c r="E44" s="204"/>
      <c r="F44" s="272"/>
    </row>
    <row r="45" spans="1:8" x14ac:dyDescent="0.25">
      <c r="A45" s="92"/>
      <c r="B45" s="273"/>
      <c r="C45" s="274"/>
      <c r="D45" s="275"/>
      <c r="E45" s="275"/>
      <c r="F45" s="276"/>
    </row>
    <row r="46" spans="1:8" ht="24.6" customHeight="1" x14ac:dyDescent="0.25">
      <c r="A46" s="92"/>
      <c r="B46" s="273"/>
      <c r="C46" s="274"/>
      <c r="D46" s="275"/>
      <c r="E46" s="275"/>
      <c r="F46" s="276"/>
    </row>
    <row r="47" spans="1:8" x14ac:dyDescent="0.25">
      <c r="A47" s="92"/>
      <c r="B47" s="273"/>
      <c r="C47" s="274"/>
      <c r="D47" s="275"/>
      <c r="E47" s="275"/>
      <c r="F47" s="276"/>
    </row>
    <row r="48" spans="1:8" x14ac:dyDescent="0.25">
      <c r="A48" s="17"/>
      <c r="B48" s="277" t="s">
        <v>21</v>
      </c>
      <c r="C48" s="278"/>
      <c r="D48" s="279"/>
      <c r="E48" s="279"/>
      <c r="F48" s="280"/>
      <c r="H48" s="25"/>
    </row>
    <row r="49" spans="1:8" x14ac:dyDescent="0.25">
      <c r="A49" s="17"/>
      <c r="B49" s="281" t="s">
        <v>54</v>
      </c>
      <c r="C49" s="278"/>
      <c r="D49" s="279"/>
      <c r="E49" s="279"/>
      <c r="F49" s="280"/>
    </row>
    <row r="50" spans="1:8" ht="13.8" x14ac:dyDescent="0.25">
      <c r="A50" s="17"/>
      <c r="B50" s="282" t="s">
        <v>55</v>
      </c>
      <c r="C50" s="278"/>
      <c r="D50" s="279"/>
      <c r="E50" s="279"/>
      <c r="F50" s="280"/>
    </row>
    <row r="51" spans="1:8" x14ac:dyDescent="0.25">
      <c r="A51" s="283"/>
      <c r="B51" s="16"/>
      <c r="C51" s="284"/>
      <c r="D51" s="27"/>
      <c r="E51" s="27"/>
      <c r="F51" s="285"/>
    </row>
    <row r="52" spans="1:8" x14ac:dyDescent="0.25">
      <c r="A52" s="26"/>
      <c r="B52" s="41"/>
      <c r="C52" s="27"/>
      <c r="D52" s="27"/>
      <c r="E52" s="27"/>
      <c r="F52" s="27"/>
      <c r="H52" s="25"/>
    </row>
    <row r="53" spans="1:8" x14ac:dyDescent="0.25">
      <c r="H53" s="25"/>
    </row>
  </sheetData>
  <mergeCells count="38">
    <mergeCell ref="A38:A39"/>
    <mergeCell ref="B38:B39"/>
    <mergeCell ref="A40:A41"/>
    <mergeCell ref="B40:B41"/>
    <mergeCell ref="A42:B43"/>
    <mergeCell ref="A32:A33"/>
    <mergeCell ref="B32:B33"/>
    <mergeCell ref="A34:A35"/>
    <mergeCell ref="B34:B35"/>
    <mergeCell ref="A36:A37"/>
    <mergeCell ref="B36:B37"/>
    <mergeCell ref="B26:B27"/>
    <mergeCell ref="A28:A29"/>
    <mergeCell ref="B28:B29"/>
    <mergeCell ref="A30:A31"/>
    <mergeCell ref="B30:B31"/>
    <mergeCell ref="A12:A13"/>
    <mergeCell ref="B12:B13"/>
    <mergeCell ref="A14:A15"/>
    <mergeCell ref="B14:B15"/>
    <mergeCell ref="A16:A17"/>
    <mergeCell ref="B16:B17"/>
    <mergeCell ref="A24:A25"/>
    <mergeCell ref="B24:B25"/>
    <mergeCell ref="A26:A27"/>
    <mergeCell ref="A3:F3"/>
    <mergeCell ref="A10:A11"/>
    <mergeCell ref="B10:B11"/>
    <mergeCell ref="D8:F8"/>
    <mergeCell ref="C8:C9"/>
    <mergeCell ref="B8:B9"/>
    <mergeCell ref="A8:A9"/>
    <mergeCell ref="A18:A19"/>
    <mergeCell ref="B18:B19"/>
    <mergeCell ref="A20:A21"/>
    <mergeCell ref="B20:B21"/>
    <mergeCell ref="A22:A23"/>
    <mergeCell ref="B22:B23"/>
  </mergeCells>
  <printOptions horizontalCentered="1"/>
  <pageMargins left="0" right="0" top="0.59055118110236227" bottom="0" header="0" footer="0"/>
  <pageSetup paperSize="9" orientation="portrait" horizontalDpi="1200" verticalDpi="1200" r:id="rId1"/>
  <ignoredErrors>
    <ignoredError sqref="C11 C12:C27 C28:C29 C38 C33:D33 C36:D36 C37:D37 C32:D32 D38 C30:C31 D40:D41 C34:D35 D24 C40 D25 F11 D3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Q49"/>
  <sheetViews>
    <sheetView view="pageBreakPreview" zoomScale="60" zoomScaleNormal="75" workbookViewId="0">
      <selection activeCell="Z17" sqref="Y17:Z17"/>
    </sheetView>
  </sheetViews>
  <sheetFormatPr defaultColWidth="8.6640625" defaultRowHeight="13.2" x14ac:dyDescent="0.25"/>
  <cols>
    <col min="1" max="1" width="47.88671875" style="154" customWidth="1"/>
    <col min="2" max="2" width="14" style="50" bestFit="1" customWidth="1"/>
    <col min="3" max="3" width="4.44140625" style="50" bestFit="1" customWidth="1"/>
    <col min="4" max="4" width="5.44140625" style="50" bestFit="1" customWidth="1"/>
    <col min="5" max="5" width="6.109375" style="50" bestFit="1" customWidth="1"/>
    <col min="6" max="6" width="6.109375" style="50" customWidth="1"/>
    <col min="7" max="7" width="6.6640625" style="50" bestFit="1" customWidth="1"/>
    <col min="8" max="8" width="6.6640625" style="50" customWidth="1"/>
    <col min="9" max="9" width="7.33203125" style="50" customWidth="1"/>
    <col min="10" max="10" width="7.5546875" style="50" customWidth="1"/>
    <col min="11" max="11" width="7.109375" style="155" customWidth="1"/>
    <col min="12" max="12" width="30.44140625" style="155" customWidth="1"/>
    <col min="13" max="14" width="5.88671875" style="156" bestFit="1" customWidth="1"/>
    <col min="15" max="15" width="8.6640625" style="156"/>
    <col min="16" max="16" width="10.6640625" style="156" customWidth="1"/>
    <col min="17" max="17" width="4.77734375" style="156" customWidth="1"/>
    <col min="18" max="242" width="8.6640625" style="156"/>
    <col min="243" max="243" width="18.109375" style="156" bestFit="1" customWidth="1"/>
    <col min="244" max="244" width="7.109375" style="156" bestFit="1" customWidth="1"/>
    <col min="245" max="245" width="15.88671875" style="156" customWidth="1"/>
    <col min="246" max="246" width="14.88671875" style="156" bestFit="1" customWidth="1"/>
    <col min="247" max="247" width="4.44140625" style="156" bestFit="1" customWidth="1"/>
    <col min="248" max="248" width="5.44140625" style="156" bestFit="1" customWidth="1"/>
    <col min="249" max="250" width="6.109375" style="156" bestFit="1" customWidth="1"/>
    <col min="251" max="251" width="5.88671875" style="156" bestFit="1" customWidth="1"/>
  </cols>
  <sheetData>
    <row r="1" spans="1:17" ht="30" customHeight="1" x14ac:dyDescent="0.25">
      <c r="A1" s="286" t="s">
        <v>407</v>
      </c>
      <c r="B1" s="287"/>
      <c r="C1" s="287"/>
      <c r="D1" s="287"/>
      <c r="E1" s="287"/>
      <c r="F1" s="287"/>
      <c r="G1" s="287"/>
      <c r="H1" s="287"/>
      <c r="I1" s="287"/>
      <c r="J1" s="287"/>
      <c r="K1" s="287"/>
      <c r="L1" s="287"/>
      <c r="M1" s="287"/>
      <c r="N1" s="287"/>
      <c r="O1" s="287"/>
      <c r="P1" s="287"/>
      <c r="Q1" s="288"/>
    </row>
    <row r="3" spans="1:17" x14ac:dyDescent="0.25">
      <c r="H3" s="256" t="s">
        <v>154</v>
      </c>
      <c r="I3" s="256"/>
      <c r="J3" s="256"/>
    </row>
    <row r="4" spans="1:17" ht="15.6" x14ac:dyDescent="0.25">
      <c r="H4" s="157" t="s">
        <v>33</v>
      </c>
      <c r="I4" s="157" t="s">
        <v>155</v>
      </c>
      <c r="J4" s="158" t="s">
        <v>156</v>
      </c>
    </row>
    <row r="5" spans="1:17" x14ac:dyDescent="0.25">
      <c r="H5" s="157" t="s">
        <v>157</v>
      </c>
      <c r="I5" s="195" t="s">
        <v>36</v>
      </c>
      <c r="J5" s="181">
        <v>0.109</v>
      </c>
    </row>
    <row r="6" spans="1:17" x14ac:dyDescent="0.25">
      <c r="H6" s="157" t="s">
        <v>157</v>
      </c>
      <c r="I6" s="159" t="s">
        <v>158</v>
      </c>
      <c r="J6" s="160">
        <v>0.154</v>
      </c>
    </row>
    <row r="7" spans="1:17" x14ac:dyDescent="0.25">
      <c r="H7" s="157" t="s">
        <v>159</v>
      </c>
      <c r="I7" s="159" t="s">
        <v>160</v>
      </c>
      <c r="J7" s="160">
        <v>0.248</v>
      </c>
    </row>
    <row r="8" spans="1:17" x14ac:dyDescent="0.25">
      <c r="H8" s="157" t="s">
        <v>159</v>
      </c>
      <c r="I8" s="195" t="s">
        <v>161</v>
      </c>
      <c r="J8" s="160">
        <v>0.39300000000000002</v>
      </c>
    </row>
    <row r="9" spans="1:17" x14ac:dyDescent="0.25">
      <c r="H9" s="157" t="s">
        <v>159</v>
      </c>
      <c r="I9" s="195">
        <v>10</v>
      </c>
      <c r="J9" s="160">
        <v>0.624</v>
      </c>
    </row>
    <row r="10" spans="1:17" x14ac:dyDescent="0.25">
      <c r="H10" s="157" t="s">
        <v>159</v>
      </c>
      <c r="I10" s="159" t="s">
        <v>162</v>
      </c>
      <c r="J10" s="160">
        <v>0.98799999999999999</v>
      </c>
    </row>
    <row r="11" spans="1:17" x14ac:dyDescent="0.25">
      <c r="H11" s="157" t="s">
        <v>159</v>
      </c>
      <c r="I11" s="159">
        <v>16</v>
      </c>
      <c r="J11" s="160">
        <v>1.57</v>
      </c>
    </row>
    <row r="12" spans="1:17" x14ac:dyDescent="0.25">
      <c r="H12" s="157" t="s">
        <v>159</v>
      </c>
      <c r="I12" s="159">
        <v>20</v>
      </c>
      <c r="J12" s="160">
        <v>2.48</v>
      </c>
    </row>
    <row r="13" spans="1:17" x14ac:dyDescent="0.25">
      <c r="H13" s="156"/>
      <c r="I13" s="156"/>
      <c r="J13" s="156"/>
    </row>
    <row r="14" spans="1:17" ht="20.399999999999999" x14ac:dyDescent="0.25">
      <c r="A14" s="161" t="s">
        <v>163</v>
      </c>
      <c r="B14" s="48" t="s">
        <v>164</v>
      </c>
      <c r="C14" s="53" t="s">
        <v>165</v>
      </c>
      <c r="D14" s="53" t="s">
        <v>166</v>
      </c>
      <c r="E14" s="53" t="s">
        <v>167</v>
      </c>
      <c r="F14" s="53" t="s">
        <v>168</v>
      </c>
      <c r="G14" s="48" t="s">
        <v>169</v>
      </c>
      <c r="H14" s="48" t="s">
        <v>170</v>
      </c>
      <c r="I14" s="33" t="s">
        <v>171</v>
      </c>
      <c r="J14" s="48" t="s">
        <v>172</v>
      </c>
      <c r="K14" s="158" t="s">
        <v>173</v>
      </c>
      <c r="L14" s="157" t="s">
        <v>174</v>
      </c>
    </row>
    <row r="15" spans="1:17" ht="20.399999999999999" x14ac:dyDescent="0.25">
      <c r="A15" s="262" t="s">
        <v>182</v>
      </c>
      <c r="B15" s="180" t="s">
        <v>184</v>
      </c>
      <c r="C15" s="162" t="s">
        <v>181</v>
      </c>
      <c r="D15" s="289">
        <v>10</v>
      </c>
      <c r="E15" s="162">
        <v>12</v>
      </c>
      <c r="F15" s="162">
        <v>4</v>
      </c>
      <c r="G15" s="162">
        <v>91</v>
      </c>
      <c r="H15" s="162">
        <f>G15*F15*E15</f>
        <v>4368</v>
      </c>
      <c r="I15" s="290">
        <f>H15*$J$9/100</f>
        <v>27.256320000000002</v>
      </c>
      <c r="J15" s="290"/>
      <c r="K15" s="166"/>
      <c r="L15" s="167"/>
    </row>
    <row r="16" spans="1:17" x14ac:dyDescent="0.25">
      <c r="A16" s="263"/>
      <c r="B16" s="126"/>
      <c r="C16" s="127"/>
      <c r="D16" s="127"/>
      <c r="E16" s="127"/>
      <c r="F16" s="127"/>
      <c r="G16" s="170"/>
      <c r="H16" s="171" t="s">
        <v>178</v>
      </c>
      <c r="I16" s="198">
        <f>SUM(I15:I15)</f>
        <v>27.256320000000002</v>
      </c>
      <c r="J16" s="198">
        <f>SUM(J15:J15)</f>
        <v>0</v>
      </c>
      <c r="K16" s="168"/>
      <c r="L16" s="169"/>
    </row>
    <row r="17" spans="1:13" x14ac:dyDescent="0.25">
      <c r="A17" s="257" t="s">
        <v>183</v>
      </c>
      <c r="B17" s="260" t="s">
        <v>185</v>
      </c>
      <c r="C17" s="162" t="s">
        <v>175</v>
      </c>
      <c r="D17" s="163" t="s">
        <v>36</v>
      </c>
      <c r="E17" s="164">
        <v>16</v>
      </c>
      <c r="F17" s="164">
        <v>4</v>
      </c>
      <c r="G17" s="205">
        <v>66</v>
      </c>
      <c r="H17" s="164">
        <f>G17*F17*E17</f>
        <v>4224</v>
      </c>
      <c r="I17" s="277"/>
      <c r="J17" s="165">
        <f>H17*$J$5/100</f>
        <v>4.6041600000000003</v>
      </c>
      <c r="K17" s="206" t="s">
        <v>153</v>
      </c>
      <c r="L17" s="265" t="s">
        <v>285</v>
      </c>
    </row>
    <row r="18" spans="1:13" x14ac:dyDescent="0.25">
      <c r="A18" s="258"/>
      <c r="B18" s="261"/>
      <c r="C18" s="164" t="s">
        <v>179</v>
      </c>
      <c r="D18" s="163">
        <v>8</v>
      </c>
      <c r="E18" s="164">
        <v>4</v>
      </c>
      <c r="F18" s="164">
        <v>4</v>
      </c>
      <c r="G18" s="205">
        <v>335</v>
      </c>
      <c r="H18" s="164">
        <f>G18*F18*E18</f>
        <v>5360</v>
      </c>
      <c r="I18" s="165">
        <f>H18*$J$8/100</f>
        <v>21.064800000000002</v>
      </c>
      <c r="J18" s="165"/>
      <c r="K18" s="206" t="s">
        <v>153</v>
      </c>
      <c r="L18" s="266"/>
    </row>
    <row r="19" spans="1:13" x14ac:dyDescent="0.25">
      <c r="A19" s="259"/>
      <c r="B19" s="126"/>
      <c r="C19" s="127"/>
      <c r="D19" s="127"/>
      <c r="E19" s="127"/>
      <c r="F19" s="127"/>
      <c r="G19" s="170"/>
      <c r="H19" s="171" t="s">
        <v>178</v>
      </c>
      <c r="I19" s="198">
        <f>SUM(I18:I18)</f>
        <v>21.064800000000002</v>
      </c>
      <c r="J19" s="198">
        <f>SUM(J17:J18)</f>
        <v>4.6041600000000003</v>
      </c>
      <c r="K19" s="206"/>
      <c r="L19" s="207"/>
    </row>
    <row r="20" spans="1:13" x14ac:dyDescent="0.25">
      <c r="A20" s="257" t="s">
        <v>186</v>
      </c>
      <c r="B20" s="260" t="s">
        <v>187</v>
      </c>
      <c r="C20" s="162" t="s">
        <v>176</v>
      </c>
      <c r="D20" s="163" t="s">
        <v>36</v>
      </c>
      <c r="E20" s="164">
        <v>10</v>
      </c>
      <c r="F20" s="164">
        <v>3</v>
      </c>
      <c r="G20" s="205">
        <v>76</v>
      </c>
      <c r="H20" s="164">
        <f>G20*F20*E20</f>
        <v>2280</v>
      </c>
      <c r="I20" s="277"/>
      <c r="J20" s="165">
        <f>H20*$J$5/100</f>
        <v>2.4852000000000003</v>
      </c>
      <c r="K20" s="206" t="s">
        <v>153</v>
      </c>
      <c r="L20" s="265" t="s">
        <v>285</v>
      </c>
    </row>
    <row r="21" spans="1:13" x14ac:dyDescent="0.25">
      <c r="A21" s="258"/>
      <c r="B21" s="261"/>
      <c r="C21" s="164" t="s">
        <v>177</v>
      </c>
      <c r="D21" s="163">
        <v>8</v>
      </c>
      <c r="E21" s="164">
        <v>4</v>
      </c>
      <c r="F21" s="164">
        <v>3</v>
      </c>
      <c r="G21" s="205">
        <v>224</v>
      </c>
      <c r="H21" s="164">
        <f>G21*F21*E21</f>
        <v>2688</v>
      </c>
      <c r="I21" s="165">
        <f>H21*$J$8/100</f>
        <v>10.563840000000001</v>
      </c>
      <c r="J21" s="165"/>
      <c r="K21" s="206" t="s">
        <v>153</v>
      </c>
      <c r="L21" s="266"/>
    </row>
    <row r="22" spans="1:13" x14ac:dyDescent="0.25">
      <c r="A22" s="259"/>
      <c r="B22" s="126"/>
      <c r="C22" s="127"/>
      <c r="D22" s="127"/>
      <c r="E22" s="127"/>
      <c r="F22" s="127"/>
      <c r="G22" s="170"/>
      <c r="H22" s="171" t="s">
        <v>178</v>
      </c>
      <c r="I22" s="198">
        <f>SUM(I21:I21)</f>
        <v>10.563840000000001</v>
      </c>
      <c r="J22" s="198">
        <f>SUM(J20:J21)</f>
        <v>2.4852000000000003</v>
      </c>
      <c r="K22" s="206"/>
      <c r="L22" s="207"/>
    </row>
    <row r="23" spans="1:13" x14ac:dyDescent="0.25">
      <c r="A23" s="257" t="s">
        <v>188</v>
      </c>
      <c r="B23" s="260" t="s">
        <v>187</v>
      </c>
      <c r="C23" s="162" t="s">
        <v>176</v>
      </c>
      <c r="D23" s="163" t="s">
        <v>36</v>
      </c>
      <c r="E23" s="164">
        <v>18</v>
      </c>
      <c r="F23" s="164">
        <v>2</v>
      </c>
      <c r="G23" s="205">
        <v>76</v>
      </c>
      <c r="H23" s="164">
        <f>G23*F23*E23</f>
        <v>2736</v>
      </c>
      <c r="I23" s="277"/>
      <c r="J23" s="165">
        <f>H23*$J$5/100</f>
        <v>2.98224</v>
      </c>
      <c r="K23" s="206" t="s">
        <v>153</v>
      </c>
      <c r="L23" s="265" t="s">
        <v>285</v>
      </c>
    </row>
    <row r="24" spans="1:13" x14ac:dyDescent="0.25">
      <c r="A24" s="258"/>
      <c r="B24" s="261"/>
      <c r="C24" s="164" t="s">
        <v>180</v>
      </c>
      <c r="D24" s="163">
        <v>8</v>
      </c>
      <c r="E24" s="164">
        <v>4</v>
      </c>
      <c r="F24" s="164">
        <v>2</v>
      </c>
      <c r="G24" s="205">
        <v>389</v>
      </c>
      <c r="H24" s="164">
        <f>G24*F24*E24</f>
        <v>3112</v>
      </c>
      <c r="I24" s="165">
        <f>H24*$J$8/100</f>
        <v>12.230160000000001</v>
      </c>
      <c r="J24" s="165"/>
      <c r="K24" s="206" t="s">
        <v>153</v>
      </c>
      <c r="L24" s="266"/>
    </row>
    <row r="25" spans="1:13" x14ac:dyDescent="0.25">
      <c r="A25" s="259"/>
      <c r="B25" s="126"/>
      <c r="C25" s="127"/>
      <c r="D25" s="127"/>
      <c r="E25" s="127"/>
      <c r="F25" s="127"/>
      <c r="G25" s="170"/>
      <c r="H25" s="171" t="s">
        <v>178</v>
      </c>
      <c r="I25" s="198">
        <f>SUM(I24:I24)</f>
        <v>12.230160000000001</v>
      </c>
      <c r="J25" s="198">
        <f>SUM(J23:J24)</f>
        <v>2.98224</v>
      </c>
      <c r="K25" s="206"/>
      <c r="L25" s="207"/>
    </row>
    <row r="26" spans="1:13" x14ac:dyDescent="0.25">
      <c r="A26" s="257" t="s">
        <v>189</v>
      </c>
      <c r="B26" s="260" t="s">
        <v>191</v>
      </c>
      <c r="C26" s="162" t="s">
        <v>175</v>
      </c>
      <c r="D26" s="163" t="s">
        <v>36</v>
      </c>
      <c r="E26" s="164">
        <v>10</v>
      </c>
      <c r="F26" s="164">
        <v>3</v>
      </c>
      <c r="G26" s="205">
        <v>66</v>
      </c>
      <c r="H26" s="164">
        <f>G26*F26*E26</f>
        <v>1980</v>
      </c>
      <c r="I26" s="277"/>
      <c r="J26" s="165">
        <f>H26*$J$5/100</f>
        <v>2.1581999999999999</v>
      </c>
      <c r="K26" s="206" t="s">
        <v>153</v>
      </c>
      <c r="L26" s="265" t="s">
        <v>285</v>
      </c>
    </row>
    <row r="27" spans="1:13" x14ac:dyDescent="0.25">
      <c r="A27" s="258"/>
      <c r="B27" s="261"/>
      <c r="C27" s="164" t="s">
        <v>177</v>
      </c>
      <c r="D27" s="163">
        <v>8</v>
      </c>
      <c r="E27" s="164">
        <v>4</v>
      </c>
      <c r="F27" s="164">
        <v>3</v>
      </c>
      <c r="G27" s="205">
        <v>224</v>
      </c>
      <c r="H27" s="164">
        <f>G27*F27*E27</f>
        <v>2688</v>
      </c>
      <c r="I27" s="165">
        <f>H27*$J$8/100</f>
        <v>10.563840000000001</v>
      </c>
      <c r="J27" s="165"/>
      <c r="K27" s="206" t="s">
        <v>153</v>
      </c>
      <c r="L27" s="266"/>
    </row>
    <row r="28" spans="1:13" x14ac:dyDescent="0.25">
      <c r="A28" s="259"/>
      <c r="B28" s="126"/>
      <c r="C28" s="127"/>
      <c r="D28" s="127"/>
      <c r="E28" s="127"/>
      <c r="F28" s="127"/>
      <c r="G28" s="170"/>
      <c r="H28" s="171" t="s">
        <v>178</v>
      </c>
      <c r="I28" s="198">
        <f>SUM(I27:I27)</f>
        <v>10.563840000000001</v>
      </c>
      <c r="J28" s="198">
        <f>SUM(J26:J27)</f>
        <v>2.1581999999999999</v>
      </c>
      <c r="K28" s="206"/>
      <c r="L28" s="207"/>
    </row>
    <row r="29" spans="1:13" x14ac:dyDescent="0.25">
      <c r="A29" s="257" t="s">
        <v>190</v>
      </c>
      <c r="B29" s="260" t="s">
        <v>191</v>
      </c>
      <c r="C29" s="162" t="s">
        <v>175</v>
      </c>
      <c r="D29" s="163" t="s">
        <v>36</v>
      </c>
      <c r="E29" s="164">
        <v>18</v>
      </c>
      <c r="F29" s="164">
        <v>2</v>
      </c>
      <c r="G29" s="205">
        <v>66</v>
      </c>
      <c r="H29" s="164">
        <f>G29*F29*E29</f>
        <v>2376</v>
      </c>
      <c r="I29" s="277"/>
      <c r="J29" s="165">
        <f>H29*$J$5/100</f>
        <v>2.5898399999999997</v>
      </c>
      <c r="K29" s="206" t="s">
        <v>153</v>
      </c>
      <c r="L29" s="265" t="s">
        <v>285</v>
      </c>
    </row>
    <row r="30" spans="1:13" x14ac:dyDescent="0.25">
      <c r="A30" s="258"/>
      <c r="B30" s="261"/>
      <c r="C30" s="164" t="s">
        <v>180</v>
      </c>
      <c r="D30" s="163">
        <v>8</v>
      </c>
      <c r="E30" s="164">
        <v>4</v>
      </c>
      <c r="F30" s="164">
        <v>2</v>
      </c>
      <c r="G30" s="205">
        <v>389</v>
      </c>
      <c r="H30" s="164">
        <f>G30*F30*E30</f>
        <v>3112</v>
      </c>
      <c r="I30" s="165">
        <f>H30*$J$8/100</f>
        <v>12.230160000000001</v>
      </c>
      <c r="J30" s="165"/>
      <c r="K30" s="206" t="s">
        <v>153</v>
      </c>
      <c r="L30" s="266"/>
    </row>
    <row r="31" spans="1:13" x14ac:dyDescent="0.25">
      <c r="A31" s="264"/>
      <c r="B31" s="126"/>
      <c r="C31" s="127"/>
      <c r="D31" s="127"/>
      <c r="E31" s="127"/>
      <c r="F31" s="127"/>
      <c r="G31" s="170"/>
      <c r="H31" s="171" t="s">
        <v>178</v>
      </c>
      <c r="I31" s="198">
        <f>SUM(I30:I30)</f>
        <v>12.230160000000001</v>
      </c>
      <c r="J31" s="198">
        <f>SUM(J29:J30)</f>
        <v>2.5898399999999997</v>
      </c>
      <c r="K31" s="168"/>
      <c r="L31" s="169"/>
    </row>
    <row r="32" spans="1:13" s="156" customFormat="1" x14ac:dyDescent="0.25">
      <c r="A32" s="291"/>
      <c r="B32" s="50"/>
      <c r="C32" s="50"/>
      <c r="D32" s="50"/>
      <c r="E32" s="172"/>
      <c r="F32" s="172"/>
      <c r="G32" s="173"/>
      <c r="H32" s="172"/>
      <c r="I32" s="174"/>
      <c r="J32" s="175"/>
      <c r="K32" s="155"/>
      <c r="L32" s="176"/>
      <c r="M32" s="3"/>
    </row>
    <row r="33" spans="1:251" s="156" customFormat="1" x14ac:dyDescent="0.25">
      <c r="A33" s="291"/>
      <c r="B33" s="50"/>
      <c r="C33" s="50"/>
      <c r="D33" s="50"/>
      <c r="E33" s="50"/>
      <c r="F33" s="50"/>
      <c r="G33" s="50"/>
      <c r="H33" s="50"/>
      <c r="I33" s="198">
        <f>I16+I19+I22+I25+I28+I31</f>
        <v>93.909120000000001</v>
      </c>
      <c r="J33" s="198">
        <f>J16+J19+J22+J25+J28+J31</f>
        <v>14.81964</v>
      </c>
      <c r="K33" s="177"/>
      <c r="L33" s="155"/>
      <c r="M33" s="3"/>
    </row>
    <row r="34" spans="1:251" s="156" customFormat="1" x14ac:dyDescent="0.25">
      <c r="A34" s="291"/>
      <c r="B34" s="50"/>
      <c r="C34" s="50"/>
      <c r="D34" s="50"/>
      <c r="E34" s="50"/>
      <c r="F34" s="50"/>
      <c r="G34" s="50"/>
      <c r="H34" s="50"/>
      <c r="I34" s="51"/>
      <c r="J34" s="174" t="s">
        <v>22</v>
      </c>
      <c r="K34" s="177"/>
      <c r="L34" s="155"/>
    </row>
    <row r="35" spans="1:251" s="156" customFormat="1" x14ac:dyDescent="0.25">
      <c r="A35" s="291"/>
      <c r="B35" s="50"/>
      <c r="C35" s="50"/>
      <c r="D35" s="50"/>
      <c r="E35" s="50"/>
      <c r="F35" s="50"/>
      <c r="G35" s="50"/>
      <c r="H35" s="50"/>
      <c r="I35" s="51"/>
      <c r="J35" s="198">
        <f>I33+J33</f>
        <v>108.72875999999999</v>
      </c>
      <c r="K35" s="177"/>
      <c r="L35" s="155"/>
    </row>
    <row r="36" spans="1:251" s="155" customFormat="1" x14ac:dyDescent="0.25">
      <c r="A36" s="154"/>
      <c r="B36" s="50"/>
      <c r="J36" s="50"/>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6"/>
      <c r="CN36" s="156"/>
      <c r="CO36" s="156"/>
      <c r="CP36" s="156"/>
      <c r="CQ36" s="156"/>
      <c r="CR36" s="156"/>
      <c r="CS36" s="156"/>
      <c r="CT36" s="156"/>
      <c r="CU36" s="156"/>
      <c r="CV36" s="156"/>
      <c r="CW36" s="156"/>
      <c r="CX36" s="156"/>
      <c r="CY36" s="156"/>
      <c r="CZ36" s="156"/>
      <c r="DA36" s="156"/>
      <c r="DB36" s="156"/>
      <c r="DC36" s="156"/>
      <c r="DD36" s="156"/>
      <c r="DE36" s="156"/>
      <c r="DF36" s="156"/>
      <c r="DG36" s="156"/>
      <c r="DH36" s="156"/>
      <c r="DI36" s="156"/>
      <c r="DJ36" s="156"/>
      <c r="DK36" s="156"/>
      <c r="DL36" s="156"/>
      <c r="DM36" s="156"/>
      <c r="DN36" s="156"/>
      <c r="DO36" s="156"/>
      <c r="DP36" s="156"/>
      <c r="DQ36" s="156"/>
      <c r="DR36" s="156"/>
      <c r="DS36" s="156"/>
      <c r="DT36" s="156"/>
      <c r="DU36" s="156"/>
      <c r="DV36" s="156"/>
      <c r="DW36" s="156"/>
      <c r="DX36" s="156"/>
      <c r="DY36" s="156"/>
      <c r="DZ36" s="156"/>
      <c r="EA36" s="156"/>
      <c r="EB36" s="156"/>
      <c r="EC36" s="156"/>
      <c r="ED36" s="156"/>
      <c r="EE36" s="156"/>
      <c r="EF36" s="156"/>
      <c r="EG36" s="156"/>
      <c r="EH36" s="156"/>
      <c r="EI36" s="156"/>
      <c r="EJ36" s="156"/>
      <c r="EK36" s="156"/>
      <c r="EL36" s="156"/>
      <c r="EM36" s="156"/>
      <c r="EN36" s="156"/>
      <c r="EO36" s="156"/>
      <c r="EP36" s="156"/>
      <c r="EQ36" s="156"/>
      <c r="ER36" s="156"/>
      <c r="ES36" s="156"/>
      <c r="ET36" s="156"/>
      <c r="EU36" s="156"/>
      <c r="EV36" s="156"/>
      <c r="EW36" s="156"/>
      <c r="EX36" s="156"/>
      <c r="EY36" s="156"/>
      <c r="EZ36" s="156"/>
      <c r="FA36" s="156"/>
      <c r="FB36" s="156"/>
      <c r="FC36" s="156"/>
      <c r="FD36" s="156"/>
      <c r="FE36" s="156"/>
      <c r="FF36" s="156"/>
      <c r="FG36" s="156"/>
      <c r="FH36" s="156"/>
      <c r="FI36" s="156"/>
      <c r="FJ36" s="156"/>
      <c r="FK36" s="156"/>
      <c r="FL36" s="156"/>
      <c r="FM36" s="156"/>
      <c r="FN36" s="156"/>
      <c r="FO36" s="156"/>
      <c r="FP36" s="156"/>
      <c r="FQ36" s="156"/>
      <c r="FR36" s="156"/>
      <c r="FS36" s="156"/>
      <c r="FT36" s="156"/>
      <c r="FU36" s="156"/>
      <c r="FV36" s="156"/>
      <c r="FW36" s="156"/>
      <c r="FX36" s="156"/>
      <c r="FY36" s="156"/>
      <c r="FZ36" s="156"/>
      <c r="GA36" s="156"/>
      <c r="GB36" s="156"/>
      <c r="GC36" s="156"/>
      <c r="GD36" s="156"/>
      <c r="GE36" s="156"/>
      <c r="GF36" s="156"/>
      <c r="GG36" s="156"/>
      <c r="GH36" s="156"/>
      <c r="GI36" s="156"/>
      <c r="GJ36" s="156"/>
      <c r="GK36" s="156"/>
      <c r="GL36" s="156"/>
      <c r="GM36" s="156"/>
      <c r="GN36" s="156"/>
      <c r="GO36" s="156"/>
      <c r="GP36" s="156"/>
      <c r="GQ36" s="156"/>
      <c r="GR36" s="156"/>
      <c r="GS36" s="156"/>
      <c r="GT36" s="156"/>
      <c r="GU36" s="156"/>
      <c r="GV36" s="156"/>
      <c r="GW36" s="156"/>
      <c r="GX36" s="156"/>
      <c r="GY36" s="156"/>
      <c r="GZ36" s="156"/>
      <c r="HA36" s="156"/>
      <c r="HB36" s="156"/>
      <c r="HC36" s="156"/>
      <c r="HD36" s="156"/>
      <c r="HE36" s="156"/>
      <c r="HF36" s="156"/>
      <c r="HG36" s="156"/>
      <c r="HH36" s="156"/>
      <c r="HI36" s="156"/>
      <c r="HJ36" s="156"/>
      <c r="HK36" s="156"/>
      <c r="HL36" s="156"/>
      <c r="HM36" s="156"/>
      <c r="HN36" s="156"/>
      <c r="HO36" s="156"/>
      <c r="HP36" s="156"/>
      <c r="HQ36" s="156"/>
      <c r="HR36" s="156"/>
      <c r="HS36" s="156"/>
      <c r="HT36" s="156"/>
      <c r="HU36" s="156"/>
      <c r="HV36" s="156"/>
      <c r="HW36" s="156"/>
      <c r="HX36" s="156"/>
      <c r="HY36" s="156"/>
      <c r="HZ36" s="156"/>
      <c r="IA36" s="156"/>
      <c r="IB36" s="156"/>
      <c r="IC36" s="156"/>
      <c r="ID36" s="156"/>
      <c r="IE36" s="156"/>
      <c r="IF36" s="156"/>
      <c r="IG36" s="156"/>
      <c r="IH36" s="156"/>
      <c r="II36" s="156"/>
      <c r="IJ36" s="156"/>
      <c r="IK36" s="156"/>
      <c r="IL36" s="156"/>
      <c r="IM36" s="156"/>
      <c r="IN36" s="156"/>
      <c r="IO36" s="156"/>
      <c r="IP36" s="156"/>
      <c r="IQ36" s="156"/>
    </row>
    <row r="37" spans="1:251" s="155" customFormat="1" ht="20.399999999999999" x14ac:dyDescent="0.25">
      <c r="A37" s="154"/>
      <c r="B37" s="50"/>
      <c r="C37" s="53" t="s">
        <v>165</v>
      </c>
      <c r="D37" s="53" t="s">
        <v>166</v>
      </c>
      <c r="E37" s="53" t="s">
        <v>167</v>
      </c>
      <c r="F37" s="48" t="s">
        <v>169</v>
      </c>
      <c r="G37" s="48" t="s">
        <v>170</v>
      </c>
      <c r="H37" s="50"/>
      <c r="I37" s="50"/>
      <c r="J37" s="50"/>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6"/>
      <c r="CL37" s="156"/>
      <c r="CM37" s="156"/>
      <c r="CN37" s="156"/>
      <c r="CO37" s="156"/>
      <c r="CP37" s="156"/>
      <c r="CQ37" s="156"/>
      <c r="CR37" s="156"/>
      <c r="CS37" s="156"/>
      <c r="CT37" s="156"/>
      <c r="CU37" s="156"/>
      <c r="CV37" s="156"/>
      <c r="CW37" s="156"/>
      <c r="CX37" s="156"/>
      <c r="CY37" s="156"/>
      <c r="CZ37" s="156"/>
      <c r="DA37" s="156"/>
      <c r="DB37" s="156"/>
      <c r="DC37" s="156"/>
      <c r="DD37" s="156"/>
      <c r="DE37" s="156"/>
      <c r="DF37" s="156"/>
      <c r="DG37" s="156"/>
      <c r="DH37" s="156"/>
      <c r="DI37" s="156"/>
      <c r="DJ37" s="156"/>
      <c r="DK37" s="156"/>
      <c r="DL37" s="156"/>
      <c r="DM37" s="156"/>
      <c r="DN37" s="156"/>
      <c r="DO37" s="156"/>
      <c r="DP37" s="156"/>
      <c r="DQ37" s="156"/>
      <c r="DR37" s="156"/>
      <c r="DS37" s="156"/>
      <c r="DT37" s="156"/>
      <c r="DU37" s="156"/>
      <c r="DV37" s="156"/>
      <c r="DW37" s="156"/>
      <c r="DX37" s="156"/>
      <c r="DY37" s="156"/>
      <c r="DZ37" s="156"/>
      <c r="EA37" s="156"/>
      <c r="EB37" s="156"/>
      <c r="EC37" s="156"/>
      <c r="ED37" s="156"/>
      <c r="EE37" s="156"/>
      <c r="EF37" s="156"/>
      <c r="EG37" s="156"/>
      <c r="EH37" s="156"/>
      <c r="EI37" s="156"/>
      <c r="EJ37" s="156"/>
      <c r="EK37" s="156"/>
      <c r="EL37" s="156"/>
      <c r="EM37" s="156"/>
      <c r="EN37" s="156"/>
      <c r="EO37" s="156"/>
      <c r="EP37" s="156"/>
      <c r="EQ37" s="156"/>
      <c r="ER37" s="156"/>
      <c r="ES37" s="156"/>
      <c r="ET37" s="156"/>
      <c r="EU37" s="156"/>
      <c r="EV37" s="156"/>
      <c r="EW37" s="156"/>
      <c r="EX37" s="156"/>
      <c r="EY37" s="156"/>
      <c r="EZ37" s="156"/>
      <c r="FA37" s="156"/>
      <c r="FB37" s="156"/>
      <c r="FC37" s="156"/>
      <c r="FD37" s="156"/>
      <c r="FE37" s="156"/>
      <c r="FF37" s="156"/>
      <c r="FG37" s="156"/>
      <c r="FH37" s="156"/>
      <c r="FI37" s="156"/>
      <c r="FJ37" s="156"/>
      <c r="FK37" s="156"/>
      <c r="FL37" s="156"/>
      <c r="FM37" s="156"/>
      <c r="FN37" s="156"/>
      <c r="FO37" s="156"/>
      <c r="FP37" s="156"/>
      <c r="FQ37" s="156"/>
      <c r="FR37" s="156"/>
      <c r="FS37" s="156"/>
      <c r="FT37" s="156"/>
      <c r="FU37" s="156"/>
      <c r="FV37" s="156"/>
      <c r="FW37" s="156"/>
      <c r="FX37" s="156"/>
      <c r="FY37" s="156"/>
      <c r="FZ37" s="156"/>
      <c r="GA37" s="156"/>
      <c r="GB37" s="156"/>
      <c r="GC37" s="156"/>
      <c r="GD37" s="156"/>
      <c r="GE37" s="156"/>
      <c r="GF37" s="156"/>
      <c r="GG37" s="156"/>
      <c r="GH37" s="156"/>
      <c r="GI37" s="156"/>
      <c r="GJ37" s="156"/>
      <c r="GK37" s="156"/>
      <c r="GL37" s="156"/>
      <c r="GM37" s="156"/>
      <c r="GN37" s="156"/>
      <c r="GO37" s="156"/>
      <c r="GP37" s="156"/>
      <c r="GQ37" s="156"/>
      <c r="GR37" s="156"/>
      <c r="GS37" s="156"/>
      <c r="GT37" s="156"/>
      <c r="GU37" s="156"/>
      <c r="GV37" s="156"/>
      <c r="GW37" s="156"/>
      <c r="GX37" s="156"/>
      <c r="GY37" s="156"/>
      <c r="GZ37" s="156"/>
      <c r="HA37" s="156"/>
      <c r="HB37" s="156"/>
      <c r="HC37" s="156"/>
      <c r="HD37" s="156"/>
      <c r="HE37" s="156"/>
      <c r="HF37" s="156"/>
      <c r="HG37" s="156"/>
      <c r="HH37" s="156"/>
      <c r="HI37" s="156"/>
      <c r="HJ37" s="156"/>
      <c r="HK37" s="156"/>
      <c r="HL37" s="156"/>
      <c r="HM37" s="156"/>
      <c r="HN37" s="156"/>
      <c r="HO37" s="156"/>
      <c r="HP37" s="156"/>
      <c r="HQ37" s="156"/>
      <c r="HR37" s="156"/>
      <c r="HS37" s="156"/>
      <c r="HT37" s="156"/>
      <c r="HU37" s="156"/>
      <c r="HV37" s="156"/>
      <c r="HW37" s="156"/>
      <c r="HX37" s="156"/>
      <c r="HY37" s="156"/>
      <c r="HZ37" s="156"/>
      <c r="IA37" s="156"/>
      <c r="IB37" s="156"/>
      <c r="IC37" s="156"/>
      <c r="ID37" s="156"/>
      <c r="IE37" s="156"/>
      <c r="IF37" s="156"/>
      <c r="IG37" s="156"/>
      <c r="IH37" s="156"/>
      <c r="II37" s="156"/>
      <c r="IJ37" s="156"/>
      <c r="IK37" s="156"/>
      <c r="IL37" s="156"/>
      <c r="IM37" s="156"/>
      <c r="IN37" s="156"/>
      <c r="IO37" s="156"/>
      <c r="IP37" s="156"/>
      <c r="IQ37" s="156"/>
    </row>
    <row r="38" spans="1:251" s="155" customFormat="1" x14ac:dyDescent="0.25">
      <c r="A38" s="154"/>
      <c r="B38" s="50"/>
      <c r="C38" s="30" t="s">
        <v>175</v>
      </c>
      <c r="D38" s="53" t="s">
        <v>36</v>
      </c>
      <c r="E38" s="30">
        <f>(E17*F17)+(E26*F26)+(E29*F29)</f>
        <v>130</v>
      </c>
      <c r="F38" s="208">
        <f>G29</f>
        <v>66</v>
      </c>
      <c r="G38" s="30">
        <f t="shared" ref="G38:G43" si="0">F38*E38</f>
        <v>8580</v>
      </c>
      <c r="H38" s="50"/>
      <c r="I38" s="51"/>
      <c r="J38" s="50"/>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6"/>
      <c r="BY38" s="156"/>
      <c r="BZ38" s="156"/>
      <c r="CA38" s="156"/>
      <c r="CB38" s="156"/>
      <c r="CC38" s="156"/>
      <c r="CD38" s="156"/>
      <c r="CE38" s="156"/>
      <c r="CF38" s="156"/>
      <c r="CG38" s="156"/>
      <c r="CH38" s="156"/>
      <c r="CI38" s="156"/>
      <c r="CJ38" s="156"/>
      <c r="CK38" s="156"/>
      <c r="CL38" s="156"/>
      <c r="CM38" s="156"/>
      <c r="CN38" s="156"/>
      <c r="CO38" s="156"/>
      <c r="CP38" s="156"/>
      <c r="CQ38" s="156"/>
      <c r="CR38" s="156"/>
      <c r="CS38" s="156"/>
      <c r="CT38" s="156"/>
      <c r="CU38" s="156"/>
      <c r="CV38" s="156"/>
      <c r="CW38" s="156"/>
      <c r="CX38" s="156"/>
      <c r="CY38" s="156"/>
      <c r="CZ38" s="156"/>
      <c r="DA38" s="156"/>
      <c r="DB38" s="156"/>
      <c r="DC38" s="156"/>
      <c r="DD38" s="156"/>
      <c r="DE38" s="156"/>
      <c r="DF38" s="156"/>
      <c r="DG38" s="156"/>
      <c r="DH38" s="156"/>
      <c r="DI38" s="156"/>
      <c r="DJ38" s="156"/>
      <c r="DK38" s="156"/>
      <c r="DL38" s="156"/>
      <c r="DM38" s="156"/>
      <c r="DN38" s="156"/>
      <c r="DO38" s="156"/>
      <c r="DP38" s="156"/>
      <c r="DQ38" s="156"/>
      <c r="DR38" s="156"/>
      <c r="DS38" s="156"/>
      <c r="DT38" s="156"/>
      <c r="DU38" s="156"/>
      <c r="DV38" s="156"/>
      <c r="DW38" s="156"/>
      <c r="DX38" s="156"/>
      <c r="DY38" s="156"/>
      <c r="DZ38" s="156"/>
      <c r="EA38" s="156"/>
      <c r="EB38" s="156"/>
      <c r="EC38" s="156"/>
      <c r="ED38" s="156"/>
      <c r="EE38" s="156"/>
      <c r="EF38" s="156"/>
      <c r="EG38" s="156"/>
      <c r="EH38" s="156"/>
      <c r="EI38" s="156"/>
      <c r="EJ38" s="156"/>
      <c r="EK38" s="156"/>
      <c r="EL38" s="156"/>
      <c r="EM38" s="156"/>
      <c r="EN38" s="156"/>
      <c r="EO38" s="156"/>
      <c r="EP38" s="156"/>
      <c r="EQ38" s="156"/>
      <c r="ER38" s="156"/>
      <c r="ES38" s="156"/>
      <c r="ET38" s="156"/>
      <c r="EU38" s="156"/>
      <c r="EV38" s="156"/>
      <c r="EW38" s="156"/>
      <c r="EX38" s="156"/>
      <c r="EY38" s="156"/>
      <c r="EZ38" s="156"/>
      <c r="FA38" s="156"/>
      <c r="FB38" s="156"/>
      <c r="FC38" s="156"/>
      <c r="FD38" s="156"/>
      <c r="FE38" s="156"/>
      <c r="FF38" s="156"/>
      <c r="FG38" s="156"/>
      <c r="FH38" s="156"/>
      <c r="FI38" s="156"/>
      <c r="FJ38" s="156"/>
      <c r="FK38" s="156"/>
      <c r="FL38" s="156"/>
      <c r="FM38" s="156"/>
      <c r="FN38" s="156"/>
      <c r="FO38" s="156"/>
      <c r="FP38" s="156"/>
      <c r="FQ38" s="156"/>
      <c r="FR38" s="156"/>
      <c r="FS38" s="156"/>
      <c r="FT38" s="156"/>
      <c r="FU38" s="156"/>
      <c r="FV38" s="156"/>
      <c r="FW38" s="156"/>
      <c r="FX38" s="156"/>
      <c r="FY38" s="156"/>
      <c r="FZ38" s="156"/>
      <c r="GA38" s="156"/>
      <c r="GB38" s="156"/>
      <c r="GC38" s="156"/>
      <c r="GD38" s="156"/>
      <c r="GE38" s="156"/>
      <c r="GF38" s="156"/>
      <c r="GG38" s="156"/>
      <c r="GH38" s="156"/>
      <c r="GI38" s="156"/>
      <c r="GJ38" s="156"/>
      <c r="GK38" s="156"/>
      <c r="GL38" s="156"/>
      <c r="GM38" s="156"/>
      <c r="GN38" s="156"/>
      <c r="GO38" s="156"/>
      <c r="GP38" s="156"/>
      <c r="GQ38" s="156"/>
      <c r="GR38" s="156"/>
      <c r="GS38" s="156"/>
      <c r="GT38" s="156"/>
      <c r="GU38" s="156"/>
      <c r="GV38" s="156"/>
      <c r="GW38" s="156"/>
      <c r="GX38" s="156"/>
      <c r="GY38" s="156"/>
      <c r="GZ38" s="156"/>
      <c r="HA38" s="156"/>
      <c r="HB38" s="156"/>
      <c r="HC38" s="156"/>
      <c r="HD38" s="156"/>
      <c r="HE38" s="156"/>
      <c r="HF38" s="156"/>
      <c r="HG38" s="156"/>
      <c r="HH38" s="156"/>
      <c r="HI38" s="156"/>
      <c r="HJ38" s="156"/>
      <c r="HK38" s="156"/>
      <c r="HL38" s="156"/>
      <c r="HM38" s="156"/>
      <c r="HN38" s="156"/>
      <c r="HO38" s="156"/>
      <c r="HP38" s="156"/>
      <c r="HQ38" s="156"/>
      <c r="HR38" s="156"/>
      <c r="HS38" s="156"/>
      <c r="HT38" s="156"/>
      <c r="HU38" s="156"/>
      <c r="HV38" s="156"/>
      <c r="HW38" s="156"/>
      <c r="HX38" s="156"/>
      <c r="HY38" s="156"/>
      <c r="HZ38" s="156"/>
      <c r="IA38" s="156"/>
      <c r="IB38" s="156"/>
      <c r="IC38" s="156"/>
      <c r="ID38" s="156"/>
      <c r="IE38" s="156"/>
      <c r="IF38" s="156"/>
      <c r="IG38" s="156"/>
      <c r="IH38" s="156"/>
      <c r="II38" s="156"/>
      <c r="IJ38" s="156"/>
      <c r="IK38" s="156"/>
      <c r="IL38" s="156"/>
      <c r="IM38" s="156"/>
      <c r="IN38" s="156"/>
      <c r="IO38" s="156"/>
      <c r="IP38" s="156"/>
      <c r="IQ38" s="156"/>
    </row>
    <row r="39" spans="1:251" s="155" customFormat="1" x14ac:dyDescent="0.25">
      <c r="A39" s="154"/>
      <c r="B39" s="50"/>
      <c r="C39" s="30" t="s">
        <v>176</v>
      </c>
      <c r="D39" s="53" t="s">
        <v>36</v>
      </c>
      <c r="E39" s="30">
        <f>(E20*F20)+(E23*F23)</f>
        <v>66</v>
      </c>
      <c r="F39" s="208">
        <f>G23</f>
        <v>76</v>
      </c>
      <c r="G39" s="30">
        <f t="shared" si="0"/>
        <v>5016</v>
      </c>
      <c r="H39" s="50"/>
      <c r="I39" s="51"/>
      <c r="J39" s="50"/>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CO39" s="156"/>
      <c r="CP39" s="156"/>
      <c r="CQ39" s="156"/>
      <c r="CR39" s="156"/>
      <c r="CS39" s="156"/>
      <c r="CT39" s="156"/>
      <c r="CU39" s="156"/>
      <c r="CV39" s="156"/>
      <c r="CW39" s="156"/>
      <c r="CX39" s="156"/>
      <c r="CY39" s="156"/>
      <c r="CZ39" s="156"/>
      <c r="DA39" s="156"/>
      <c r="DB39" s="156"/>
      <c r="DC39" s="156"/>
      <c r="DD39" s="156"/>
      <c r="DE39" s="156"/>
      <c r="DF39" s="156"/>
      <c r="DG39" s="156"/>
      <c r="DH39" s="156"/>
      <c r="DI39" s="156"/>
      <c r="DJ39" s="156"/>
      <c r="DK39" s="156"/>
      <c r="DL39" s="156"/>
      <c r="DM39" s="156"/>
      <c r="DN39" s="156"/>
      <c r="DO39" s="156"/>
      <c r="DP39" s="156"/>
      <c r="DQ39" s="156"/>
      <c r="DR39" s="156"/>
      <c r="DS39" s="156"/>
      <c r="DT39" s="156"/>
      <c r="DU39" s="156"/>
      <c r="DV39" s="156"/>
      <c r="DW39" s="156"/>
      <c r="DX39" s="156"/>
      <c r="DY39" s="156"/>
      <c r="DZ39" s="156"/>
      <c r="EA39" s="156"/>
      <c r="EB39" s="156"/>
      <c r="EC39" s="156"/>
      <c r="ED39" s="156"/>
      <c r="EE39" s="156"/>
      <c r="EF39" s="156"/>
      <c r="EG39" s="156"/>
      <c r="EH39" s="156"/>
      <c r="EI39" s="156"/>
      <c r="EJ39" s="156"/>
      <c r="EK39" s="156"/>
      <c r="EL39" s="156"/>
      <c r="EM39" s="156"/>
      <c r="EN39" s="156"/>
      <c r="EO39" s="156"/>
      <c r="EP39" s="156"/>
      <c r="EQ39" s="156"/>
      <c r="ER39" s="156"/>
      <c r="ES39" s="156"/>
      <c r="ET39" s="156"/>
      <c r="EU39" s="156"/>
      <c r="EV39" s="156"/>
      <c r="EW39" s="156"/>
      <c r="EX39" s="156"/>
      <c r="EY39" s="156"/>
      <c r="EZ39" s="156"/>
      <c r="FA39" s="156"/>
      <c r="FB39" s="156"/>
      <c r="FC39" s="156"/>
      <c r="FD39" s="156"/>
      <c r="FE39" s="156"/>
      <c r="FF39" s="156"/>
      <c r="FG39" s="156"/>
      <c r="FH39" s="156"/>
      <c r="FI39" s="156"/>
      <c r="FJ39" s="156"/>
      <c r="FK39" s="156"/>
      <c r="FL39" s="156"/>
      <c r="FM39" s="156"/>
      <c r="FN39" s="156"/>
      <c r="FO39" s="156"/>
      <c r="FP39" s="156"/>
      <c r="FQ39" s="156"/>
      <c r="FR39" s="156"/>
      <c r="FS39" s="156"/>
      <c r="FT39" s="156"/>
      <c r="FU39" s="156"/>
      <c r="FV39" s="156"/>
      <c r="FW39" s="156"/>
      <c r="FX39" s="156"/>
      <c r="FY39" s="156"/>
      <c r="FZ39" s="156"/>
      <c r="GA39" s="156"/>
      <c r="GB39" s="156"/>
      <c r="GC39" s="156"/>
      <c r="GD39" s="156"/>
      <c r="GE39" s="156"/>
      <c r="GF39" s="156"/>
      <c r="GG39" s="156"/>
      <c r="GH39" s="156"/>
      <c r="GI39" s="156"/>
      <c r="GJ39" s="156"/>
      <c r="GK39" s="156"/>
      <c r="GL39" s="156"/>
      <c r="GM39" s="156"/>
      <c r="GN39" s="156"/>
      <c r="GO39" s="156"/>
      <c r="GP39" s="156"/>
      <c r="GQ39" s="156"/>
      <c r="GR39" s="156"/>
      <c r="GS39" s="156"/>
      <c r="GT39" s="156"/>
      <c r="GU39" s="156"/>
      <c r="GV39" s="156"/>
      <c r="GW39" s="156"/>
      <c r="GX39" s="156"/>
      <c r="GY39" s="156"/>
      <c r="GZ39" s="156"/>
      <c r="HA39" s="156"/>
      <c r="HB39" s="156"/>
      <c r="HC39" s="156"/>
      <c r="HD39" s="156"/>
      <c r="HE39" s="156"/>
      <c r="HF39" s="156"/>
      <c r="HG39" s="156"/>
      <c r="HH39" s="156"/>
      <c r="HI39" s="156"/>
      <c r="HJ39" s="156"/>
      <c r="HK39" s="156"/>
      <c r="HL39" s="156"/>
      <c r="HM39" s="156"/>
      <c r="HN39" s="156"/>
      <c r="HO39" s="156"/>
      <c r="HP39" s="156"/>
      <c r="HQ39" s="156"/>
      <c r="HR39" s="156"/>
      <c r="HS39" s="156"/>
      <c r="HT39" s="156"/>
      <c r="HU39" s="156"/>
      <c r="HV39" s="156"/>
      <c r="HW39" s="156"/>
      <c r="HX39" s="156"/>
      <c r="HY39" s="156"/>
      <c r="HZ39" s="156"/>
      <c r="IA39" s="156"/>
      <c r="IB39" s="156"/>
      <c r="IC39" s="156"/>
      <c r="ID39" s="156"/>
      <c r="IE39" s="156"/>
      <c r="IF39" s="156"/>
      <c r="IG39" s="156"/>
      <c r="IH39" s="156"/>
      <c r="II39" s="156"/>
      <c r="IJ39" s="156"/>
      <c r="IK39" s="156"/>
      <c r="IL39" s="156"/>
      <c r="IM39" s="156"/>
      <c r="IN39" s="156"/>
      <c r="IO39" s="156"/>
      <c r="IP39" s="156"/>
      <c r="IQ39" s="156"/>
    </row>
    <row r="40" spans="1:251" s="155" customFormat="1" x14ac:dyDescent="0.25">
      <c r="A40" s="154"/>
      <c r="B40" s="50"/>
      <c r="C40" s="30" t="s">
        <v>177</v>
      </c>
      <c r="D40" s="53">
        <v>8</v>
      </c>
      <c r="E40" s="30">
        <f>(E21*F21)+(E27*F27)</f>
        <v>24</v>
      </c>
      <c r="F40" s="208">
        <f>G21</f>
        <v>224</v>
      </c>
      <c r="G40" s="30">
        <f t="shared" si="0"/>
        <v>5376</v>
      </c>
      <c r="H40" s="50"/>
      <c r="I40" s="178"/>
      <c r="J40" s="50"/>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156"/>
      <c r="CI40" s="156"/>
      <c r="CJ40" s="156"/>
      <c r="CK40" s="156"/>
      <c r="CL40" s="156"/>
      <c r="CM40" s="156"/>
      <c r="CN40" s="156"/>
      <c r="CO40" s="156"/>
      <c r="CP40" s="156"/>
      <c r="CQ40" s="156"/>
      <c r="CR40" s="156"/>
      <c r="CS40" s="156"/>
      <c r="CT40" s="156"/>
      <c r="CU40" s="156"/>
      <c r="CV40" s="156"/>
      <c r="CW40" s="156"/>
      <c r="CX40" s="156"/>
      <c r="CY40" s="156"/>
      <c r="CZ40" s="156"/>
      <c r="DA40" s="156"/>
      <c r="DB40" s="156"/>
      <c r="DC40" s="156"/>
      <c r="DD40" s="156"/>
      <c r="DE40" s="156"/>
      <c r="DF40" s="156"/>
      <c r="DG40" s="156"/>
      <c r="DH40" s="156"/>
      <c r="DI40" s="156"/>
      <c r="DJ40" s="156"/>
      <c r="DK40" s="156"/>
      <c r="DL40" s="156"/>
      <c r="DM40" s="156"/>
      <c r="DN40" s="156"/>
      <c r="DO40" s="156"/>
      <c r="DP40" s="156"/>
      <c r="DQ40" s="156"/>
      <c r="DR40" s="156"/>
      <c r="DS40" s="156"/>
      <c r="DT40" s="156"/>
      <c r="DU40" s="156"/>
      <c r="DV40" s="156"/>
      <c r="DW40" s="156"/>
      <c r="DX40" s="156"/>
      <c r="DY40" s="156"/>
      <c r="DZ40" s="156"/>
      <c r="EA40" s="156"/>
      <c r="EB40" s="156"/>
      <c r="EC40" s="156"/>
      <c r="ED40" s="156"/>
      <c r="EE40" s="156"/>
      <c r="EF40" s="156"/>
      <c r="EG40" s="156"/>
      <c r="EH40" s="156"/>
      <c r="EI40" s="156"/>
      <c r="EJ40" s="156"/>
      <c r="EK40" s="156"/>
      <c r="EL40" s="156"/>
      <c r="EM40" s="156"/>
      <c r="EN40" s="156"/>
      <c r="EO40" s="156"/>
      <c r="EP40" s="156"/>
      <c r="EQ40" s="156"/>
      <c r="ER40" s="156"/>
      <c r="ES40" s="156"/>
      <c r="ET40" s="156"/>
      <c r="EU40" s="156"/>
      <c r="EV40" s="156"/>
      <c r="EW40" s="156"/>
      <c r="EX40" s="156"/>
      <c r="EY40" s="156"/>
      <c r="EZ40" s="156"/>
      <c r="FA40" s="156"/>
      <c r="FB40" s="156"/>
      <c r="FC40" s="156"/>
      <c r="FD40" s="156"/>
      <c r="FE40" s="156"/>
      <c r="FF40" s="156"/>
      <c r="FG40" s="156"/>
      <c r="FH40" s="156"/>
      <c r="FI40" s="156"/>
      <c r="FJ40" s="156"/>
      <c r="FK40" s="156"/>
      <c r="FL40" s="156"/>
      <c r="FM40" s="156"/>
      <c r="FN40" s="156"/>
      <c r="FO40" s="156"/>
      <c r="FP40" s="156"/>
      <c r="FQ40" s="156"/>
      <c r="FR40" s="156"/>
      <c r="FS40" s="156"/>
      <c r="FT40" s="156"/>
      <c r="FU40" s="156"/>
      <c r="FV40" s="156"/>
      <c r="FW40" s="156"/>
      <c r="FX40" s="156"/>
      <c r="FY40" s="156"/>
      <c r="FZ40" s="156"/>
      <c r="GA40" s="156"/>
      <c r="GB40" s="156"/>
      <c r="GC40" s="156"/>
      <c r="GD40" s="156"/>
      <c r="GE40" s="156"/>
      <c r="GF40" s="156"/>
      <c r="GG40" s="156"/>
      <c r="GH40" s="156"/>
      <c r="GI40" s="156"/>
      <c r="GJ40" s="156"/>
      <c r="GK40" s="156"/>
      <c r="GL40" s="156"/>
      <c r="GM40" s="156"/>
      <c r="GN40" s="156"/>
      <c r="GO40" s="156"/>
      <c r="GP40" s="156"/>
      <c r="GQ40" s="156"/>
      <c r="GR40" s="156"/>
      <c r="GS40" s="156"/>
      <c r="GT40" s="156"/>
      <c r="GU40" s="156"/>
      <c r="GV40" s="156"/>
      <c r="GW40" s="156"/>
      <c r="GX40" s="156"/>
      <c r="GY40" s="156"/>
      <c r="GZ40" s="156"/>
      <c r="HA40" s="156"/>
      <c r="HB40" s="156"/>
      <c r="HC40" s="156"/>
      <c r="HD40" s="156"/>
      <c r="HE40" s="156"/>
      <c r="HF40" s="156"/>
      <c r="HG40" s="156"/>
      <c r="HH40" s="156"/>
      <c r="HI40" s="156"/>
      <c r="HJ40" s="156"/>
      <c r="HK40" s="156"/>
      <c r="HL40" s="156"/>
      <c r="HM40" s="156"/>
      <c r="HN40" s="156"/>
      <c r="HO40" s="156"/>
      <c r="HP40" s="156"/>
      <c r="HQ40" s="156"/>
      <c r="HR40" s="156"/>
      <c r="HS40" s="156"/>
      <c r="HT40" s="156"/>
      <c r="HU40" s="156"/>
      <c r="HV40" s="156"/>
      <c r="HW40" s="156"/>
      <c r="HX40" s="156"/>
      <c r="HY40" s="156"/>
      <c r="HZ40" s="156"/>
      <c r="IA40" s="156"/>
      <c r="IB40" s="156"/>
      <c r="IC40" s="156"/>
      <c r="ID40" s="156"/>
      <c r="IE40" s="156"/>
      <c r="IF40" s="156"/>
      <c r="IG40" s="156"/>
      <c r="IH40" s="156"/>
      <c r="II40" s="156"/>
      <c r="IJ40" s="156"/>
      <c r="IK40" s="156"/>
      <c r="IL40" s="156"/>
      <c r="IM40" s="156"/>
      <c r="IN40" s="156"/>
      <c r="IO40" s="156"/>
      <c r="IP40" s="156"/>
      <c r="IQ40" s="156"/>
    </row>
    <row r="41" spans="1:251" s="155" customFormat="1" x14ac:dyDescent="0.25">
      <c r="A41" s="154"/>
      <c r="B41" s="50"/>
      <c r="C41" s="30" t="s">
        <v>179</v>
      </c>
      <c r="D41" s="53">
        <v>8</v>
      </c>
      <c r="E41" s="30">
        <f>E18*F18</f>
        <v>16</v>
      </c>
      <c r="F41" s="208">
        <f>G18</f>
        <v>335</v>
      </c>
      <c r="G41" s="30">
        <f t="shared" si="0"/>
        <v>5360</v>
      </c>
      <c r="H41" s="50"/>
      <c r="I41" s="178"/>
      <c r="J41" s="50"/>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c r="CD41" s="156"/>
      <c r="CE41" s="156"/>
      <c r="CF41" s="156"/>
      <c r="CG41" s="156"/>
      <c r="CH41" s="156"/>
      <c r="CI41" s="156"/>
      <c r="CJ41" s="156"/>
      <c r="CK41" s="156"/>
      <c r="CL41" s="156"/>
      <c r="CM41" s="156"/>
      <c r="CN41" s="156"/>
      <c r="CO41" s="156"/>
      <c r="CP41" s="156"/>
      <c r="CQ41" s="156"/>
      <c r="CR41" s="156"/>
      <c r="CS41" s="156"/>
      <c r="CT41" s="156"/>
      <c r="CU41" s="156"/>
      <c r="CV41" s="156"/>
      <c r="CW41" s="156"/>
      <c r="CX41" s="156"/>
      <c r="CY41" s="156"/>
      <c r="CZ41" s="156"/>
      <c r="DA41" s="156"/>
      <c r="DB41" s="156"/>
      <c r="DC41" s="156"/>
      <c r="DD41" s="156"/>
      <c r="DE41" s="156"/>
      <c r="DF41" s="156"/>
      <c r="DG41" s="156"/>
      <c r="DH41" s="156"/>
      <c r="DI41" s="156"/>
      <c r="DJ41" s="156"/>
      <c r="DK41" s="156"/>
      <c r="DL41" s="156"/>
      <c r="DM41" s="156"/>
      <c r="DN41" s="156"/>
      <c r="DO41" s="156"/>
      <c r="DP41" s="156"/>
      <c r="DQ41" s="156"/>
      <c r="DR41" s="156"/>
      <c r="DS41" s="156"/>
      <c r="DT41" s="156"/>
      <c r="DU41" s="156"/>
      <c r="DV41" s="156"/>
      <c r="DW41" s="156"/>
      <c r="DX41" s="156"/>
      <c r="DY41" s="156"/>
      <c r="DZ41" s="156"/>
      <c r="EA41" s="156"/>
      <c r="EB41" s="156"/>
      <c r="EC41" s="156"/>
      <c r="ED41" s="156"/>
      <c r="EE41" s="156"/>
      <c r="EF41" s="156"/>
      <c r="EG41" s="156"/>
      <c r="EH41" s="156"/>
      <c r="EI41" s="156"/>
      <c r="EJ41" s="156"/>
      <c r="EK41" s="156"/>
      <c r="EL41" s="156"/>
      <c r="EM41" s="156"/>
      <c r="EN41" s="156"/>
      <c r="EO41" s="156"/>
      <c r="EP41" s="156"/>
      <c r="EQ41" s="156"/>
      <c r="ER41" s="156"/>
      <c r="ES41" s="156"/>
      <c r="ET41" s="156"/>
      <c r="EU41" s="156"/>
      <c r="EV41" s="156"/>
      <c r="EW41" s="156"/>
      <c r="EX41" s="156"/>
      <c r="EY41" s="156"/>
      <c r="EZ41" s="156"/>
      <c r="FA41" s="156"/>
      <c r="FB41" s="156"/>
      <c r="FC41" s="156"/>
      <c r="FD41" s="156"/>
      <c r="FE41" s="156"/>
      <c r="FF41" s="156"/>
      <c r="FG41" s="156"/>
      <c r="FH41" s="156"/>
      <c r="FI41" s="156"/>
      <c r="FJ41" s="156"/>
      <c r="FK41" s="156"/>
      <c r="FL41" s="156"/>
      <c r="FM41" s="156"/>
      <c r="FN41" s="156"/>
      <c r="FO41" s="156"/>
      <c r="FP41" s="156"/>
      <c r="FQ41" s="156"/>
      <c r="FR41" s="156"/>
      <c r="FS41" s="156"/>
      <c r="FT41" s="156"/>
      <c r="FU41" s="156"/>
      <c r="FV41" s="156"/>
      <c r="FW41" s="156"/>
      <c r="FX41" s="156"/>
      <c r="FY41" s="156"/>
      <c r="FZ41" s="156"/>
      <c r="GA41" s="156"/>
      <c r="GB41" s="156"/>
      <c r="GC41" s="156"/>
      <c r="GD41" s="156"/>
      <c r="GE41" s="156"/>
      <c r="GF41" s="156"/>
      <c r="GG41" s="156"/>
      <c r="GH41" s="156"/>
      <c r="GI41" s="156"/>
      <c r="GJ41" s="156"/>
      <c r="GK41" s="156"/>
      <c r="GL41" s="156"/>
      <c r="GM41" s="156"/>
      <c r="GN41" s="156"/>
      <c r="GO41" s="156"/>
      <c r="GP41" s="156"/>
      <c r="GQ41" s="156"/>
      <c r="GR41" s="156"/>
      <c r="GS41" s="156"/>
      <c r="GT41" s="156"/>
      <c r="GU41" s="156"/>
      <c r="GV41" s="156"/>
      <c r="GW41" s="156"/>
      <c r="GX41" s="156"/>
      <c r="GY41" s="156"/>
      <c r="GZ41" s="156"/>
      <c r="HA41" s="156"/>
      <c r="HB41" s="156"/>
      <c r="HC41" s="156"/>
      <c r="HD41" s="156"/>
      <c r="HE41" s="156"/>
      <c r="HF41" s="156"/>
      <c r="HG41" s="156"/>
      <c r="HH41" s="156"/>
      <c r="HI41" s="156"/>
      <c r="HJ41" s="156"/>
      <c r="HK41" s="156"/>
      <c r="HL41" s="156"/>
      <c r="HM41" s="156"/>
      <c r="HN41" s="156"/>
      <c r="HO41" s="156"/>
      <c r="HP41" s="156"/>
      <c r="HQ41" s="156"/>
      <c r="HR41" s="156"/>
      <c r="HS41" s="156"/>
      <c r="HT41" s="156"/>
      <c r="HU41" s="156"/>
      <c r="HV41" s="156"/>
      <c r="HW41" s="156"/>
      <c r="HX41" s="156"/>
      <c r="HY41" s="156"/>
      <c r="HZ41" s="156"/>
      <c r="IA41" s="156"/>
      <c r="IB41" s="156"/>
      <c r="IC41" s="156"/>
      <c r="ID41" s="156"/>
      <c r="IE41" s="156"/>
      <c r="IF41" s="156"/>
      <c r="IG41" s="156"/>
      <c r="IH41" s="156"/>
      <c r="II41" s="156"/>
      <c r="IJ41" s="156"/>
      <c r="IK41" s="156"/>
      <c r="IL41" s="156"/>
      <c r="IM41" s="156"/>
      <c r="IN41" s="156"/>
      <c r="IO41" s="156"/>
      <c r="IP41" s="156"/>
      <c r="IQ41" s="156"/>
    </row>
    <row r="42" spans="1:251" s="155" customFormat="1" x14ac:dyDescent="0.25">
      <c r="A42" s="154"/>
      <c r="B42" s="50"/>
      <c r="C42" s="30" t="s">
        <v>180</v>
      </c>
      <c r="D42" s="53">
        <v>8</v>
      </c>
      <c r="E42" s="30">
        <f>(E24*F24)+(E30*F30)</f>
        <v>16</v>
      </c>
      <c r="F42" s="208">
        <f>G24</f>
        <v>389</v>
      </c>
      <c r="G42" s="30">
        <f t="shared" si="0"/>
        <v>6224</v>
      </c>
      <c r="H42" s="50"/>
      <c r="I42" s="178"/>
      <c r="J42" s="50"/>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c r="CZ42" s="156"/>
      <c r="DA42" s="156"/>
      <c r="DB42" s="156"/>
      <c r="DC42" s="156"/>
      <c r="DD42" s="156"/>
      <c r="DE42" s="156"/>
      <c r="DF42" s="156"/>
      <c r="DG42" s="156"/>
      <c r="DH42" s="156"/>
      <c r="DI42" s="156"/>
      <c r="DJ42" s="156"/>
      <c r="DK42" s="156"/>
      <c r="DL42" s="156"/>
      <c r="DM42" s="156"/>
      <c r="DN42" s="156"/>
      <c r="DO42" s="156"/>
      <c r="DP42" s="156"/>
      <c r="DQ42" s="156"/>
      <c r="DR42" s="156"/>
      <c r="DS42" s="156"/>
      <c r="DT42" s="156"/>
      <c r="DU42" s="156"/>
      <c r="DV42" s="156"/>
      <c r="DW42" s="156"/>
      <c r="DX42" s="156"/>
      <c r="DY42" s="156"/>
      <c r="DZ42" s="156"/>
      <c r="EA42" s="156"/>
      <c r="EB42" s="156"/>
      <c r="EC42" s="156"/>
      <c r="ED42" s="156"/>
      <c r="EE42" s="156"/>
      <c r="EF42" s="156"/>
      <c r="EG42" s="156"/>
      <c r="EH42" s="156"/>
      <c r="EI42" s="156"/>
      <c r="EJ42" s="156"/>
      <c r="EK42" s="156"/>
      <c r="EL42" s="156"/>
      <c r="EM42" s="156"/>
      <c r="EN42" s="156"/>
      <c r="EO42" s="156"/>
      <c r="EP42" s="156"/>
      <c r="EQ42" s="156"/>
      <c r="ER42" s="156"/>
      <c r="ES42" s="156"/>
      <c r="ET42" s="156"/>
      <c r="EU42" s="156"/>
      <c r="EV42" s="156"/>
      <c r="EW42" s="156"/>
      <c r="EX42" s="156"/>
      <c r="EY42" s="156"/>
      <c r="EZ42" s="156"/>
      <c r="FA42" s="156"/>
      <c r="FB42" s="156"/>
      <c r="FC42" s="156"/>
      <c r="FD42" s="156"/>
      <c r="FE42" s="156"/>
      <c r="FF42" s="156"/>
      <c r="FG42" s="156"/>
      <c r="FH42" s="156"/>
      <c r="FI42" s="156"/>
      <c r="FJ42" s="156"/>
      <c r="FK42" s="156"/>
      <c r="FL42" s="156"/>
      <c r="FM42" s="156"/>
      <c r="FN42" s="156"/>
      <c r="FO42" s="156"/>
      <c r="FP42" s="156"/>
      <c r="FQ42" s="156"/>
      <c r="FR42" s="156"/>
      <c r="FS42" s="156"/>
      <c r="FT42" s="156"/>
      <c r="FU42" s="156"/>
      <c r="FV42" s="156"/>
      <c r="FW42" s="156"/>
      <c r="FX42" s="156"/>
      <c r="FY42" s="156"/>
      <c r="FZ42" s="156"/>
      <c r="GA42" s="156"/>
      <c r="GB42" s="156"/>
      <c r="GC42" s="156"/>
      <c r="GD42" s="156"/>
      <c r="GE42" s="156"/>
      <c r="GF42" s="156"/>
      <c r="GG42" s="156"/>
      <c r="GH42" s="156"/>
      <c r="GI42" s="156"/>
      <c r="GJ42" s="156"/>
      <c r="GK42" s="156"/>
      <c r="GL42" s="156"/>
      <c r="GM42" s="156"/>
      <c r="GN42" s="156"/>
      <c r="GO42" s="156"/>
      <c r="GP42" s="156"/>
      <c r="GQ42" s="156"/>
      <c r="GR42" s="156"/>
      <c r="GS42" s="156"/>
      <c r="GT42" s="156"/>
      <c r="GU42" s="156"/>
      <c r="GV42" s="156"/>
      <c r="GW42" s="156"/>
      <c r="GX42" s="156"/>
      <c r="GY42" s="156"/>
      <c r="GZ42" s="156"/>
      <c r="HA42" s="156"/>
      <c r="HB42" s="156"/>
      <c r="HC42" s="156"/>
      <c r="HD42" s="156"/>
      <c r="HE42" s="156"/>
      <c r="HF42" s="156"/>
      <c r="HG42" s="156"/>
      <c r="HH42" s="156"/>
      <c r="HI42" s="156"/>
      <c r="HJ42" s="156"/>
      <c r="HK42" s="156"/>
      <c r="HL42" s="156"/>
      <c r="HM42" s="156"/>
      <c r="HN42" s="156"/>
      <c r="HO42" s="156"/>
      <c r="HP42" s="156"/>
      <c r="HQ42" s="156"/>
      <c r="HR42" s="156"/>
      <c r="HS42" s="156"/>
      <c r="HT42" s="156"/>
      <c r="HU42" s="156"/>
      <c r="HV42" s="156"/>
      <c r="HW42" s="156"/>
      <c r="HX42" s="156"/>
      <c r="HY42" s="156"/>
      <c r="HZ42" s="156"/>
      <c r="IA42" s="156"/>
      <c r="IB42" s="156"/>
      <c r="IC42" s="156"/>
      <c r="ID42" s="156"/>
      <c r="IE42" s="156"/>
      <c r="IF42" s="156"/>
      <c r="IG42" s="156"/>
      <c r="IH42" s="156"/>
      <c r="II42" s="156"/>
      <c r="IJ42" s="156"/>
      <c r="IK42" s="156"/>
      <c r="IL42" s="156"/>
      <c r="IM42" s="156"/>
      <c r="IN42" s="156"/>
      <c r="IO42" s="156"/>
      <c r="IP42" s="156"/>
      <c r="IQ42" s="156"/>
    </row>
    <row r="43" spans="1:251" s="155" customFormat="1" x14ac:dyDescent="0.25">
      <c r="A43" s="154"/>
      <c r="B43" s="50"/>
      <c r="C43" s="30" t="s">
        <v>181</v>
      </c>
      <c r="D43" s="53">
        <v>10</v>
      </c>
      <c r="E43" s="30">
        <f>E15*F15</f>
        <v>48</v>
      </c>
      <c r="F43" s="30">
        <f>G15</f>
        <v>91</v>
      </c>
      <c r="G43" s="30">
        <f t="shared" si="0"/>
        <v>4368</v>
      </c>
      <c r="H43" s="50"/>
      <c r="I43" s="178"/>
      <c r="J43" s="50"/>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156"/>
      <c r="CT43" s="156"/>
      <c r="CU43" s="156"/>
      <c r="CV43" s="156"/>
      <c r="CW43" s="156"/>
      <c r="CX43" s="156"/>
      <c r="CY43" s="156"/>
      <c r="CZ43" s="156"/>
      <c r="DA43" s="156"/>
      <c r="DB43" s="156"/>
      <c r="DC43" s="156"/>
      <c r="DD43" s="156"/>
      <c r="DE43" s="156"/>
      <c r="DF43" s="156"/>
      <c r="DG43" s="156"/>
      <c r="DH43" s="156"/>
      <c r="DI43" s="156"/>
      <c r="DJ43" s="156"/>
      <c r="DK43" s="156"/>
      <c r="DL43" s="156"/>
      <c r="DM43" s="156"/>
      <c r="DN43" s="156"/>
      <c r="DO43" s="156"/>
      <c r="DP43" s="156"/>
      <c r="DQ43" s="156"/>
      <c r="DR43" s="156"/>
      <c r="DS43" s="156"/>
      <c r="DT43" s="156"/>
      <c r="DU43" s="156"/>
      <c r="DV43" s="156"/>
      <c r="DW43" s="156"/>
      <c r="DX43" s="156"/>
      <c r="DY43" s="156"/>
      <c r="DZ43" s="156"/>
      <c r="EA43" s="156"/>
      <c r="EB43" s="156"/>
      <c r="EC43" s="156"/>
      <c r="ED43" s="156"/>
      <c r="EE43" s="156"/>
      <c r="EF43" s="156"/>
      <c r="EG43" s="156"/>
      <c r="EH43" s="156"/>
      <c r="EI43" s="156"/>
      <c r="EJ43" s="156"/>
      <c r="EK43" s="156"/>
      <c r="EL43" s="156"/>
      <c r="EM43" s="156"/>
      <c r="EN43" s="156"/>
      <c r="EO43" s="156"/>
      <c r="EP43" s="156"/>
      <c r="EQ43" s="156"/>
      <c r="ER43" s="156"/>
      <c r="ES43" s="156"/>
      <c r="ET43" s="156"/>
      <c r="EU43" s="156"/>
      <c r="EV43" s="156"/>
      <c r="EW43" s="156"/>
      <c r="EX43" s="156"/>
      <c r="EY43" s="156"/>
      <c r="EZ43" s="156"/>
      <c r="FA43" s="156"/>
      <c r="FB43" s="156"/>
      <c r="FC43" s="156"/>
      <c r="FD43" s="156"/>
      <c r="FE43" s="156"/>
      <c r="FF43" s="156"/>
      <c r="FG43" s="156"/>
      <c r="FH43" s="156"/>
      <c r="FI43" s="156"/>
      <c r="FJ43" s="156"/>
      <c r="FK43" s="156"/>
      <c r="FL43" s="156"/>
      <c r="FM43" s="156"/>
      <c r="FN43" s="156"/>
      <c r="FO43" s="156"/>
      <c r="FP43" s="156"/>
      <c r="FQ43" s="156"/>
      <c r="FR43" s="156"/>
      <c r="FS43" s="156"/>
      <c r="FT43" s="156"/>
      <c r="FU43" s="156"/>
      <c r="FV43" s="156"/>
      <c r="FW43" s="156"/>
      <c r="FX43" s="156"/>
      <c r="FY43" s="156"/>
      <c r="FZ43" s="156"/>
      <c r="GA43" s="156"/>
      <c r="GB43" s="156"/>
      <c r="GC43" s="156"/>
      <c r="GD43" s="156"/>
      <c r="GE43" s="156"/>
      <c r="GF43" s="156"/>
      <c r="GG43" s="156"/>
      <c r="GH43" s="156"/>
      <c r="GI43" s="156"/>
      <c r="GJ43" s="156"/>
      <c r="GK43" s="156"/>
      <c r="GL43" s="156"/>
      <c r="GM43" s="156"/>
      <c r="GN43" s="156"/>
      <c r="GO43" s="156"/>
      <c r="GP43" s="156"/>
      <c r="GQ43" s="156"/>
      <c r="GR43" s="156"/>
      <c r="GS43" s="156"/>
      <c r="GT43" s="156"/>
      <c r="GU43" s="156"/>
      <c r="GV43" s="156"/>
      <c r="GW43" s="156"/>
      <c r="GX43" s="156"/>
      <c r="GY43" s="156"/>
      <c r="GZ43" s="156"/>
      <c r="HA43" s="156"/>
      <c r="HB43" s="156"/>
      <c r="HC43" s="156"/>
      <c r="HD43" s="156"/>
      <c r="HE43" s="156"/>
      <c r="HF43" s="156"/>
      <c r="HG43" s="156"/>
      <c r="HH43" s="156"/>
      <c r="HI43" s="156"/>
      <c r="HJ43" s="156"/>
      <c r="HK43" s="156"/>
      <c r="HL43" s="156"/>
      <c r="HM43" s="156"/>
      <c r="HN43" s="156"/>
      <c r="HO43" s="156"/>
      <c r="HP43" s="156"/>
      <c r="HQ43" s="156"/>
      <c r="HR43" s="156"/>
      <c r="HS43" s="156"/>
      <c r="HT43" s="156"/>
      <c r="HU43" s="156"/>
      <c r="HV43" s="156"/>
      <c r="HW43" s="156"/>
      <c r="HX43" s="156"/>
      <c r="HY43" s="156"/>
      <c r="HZ43" s="156"/>
      <c r="IA43" s="156"/>
      <c r="IB43" s="156"/>
      <c r="IC43" s="156"/>
      <c r="ID43" s="156"/>
      <c r="IE43" s="156"/>
      <c r="IF43" s="156"/>
      <c r="IG43" s="156"/>
      <c r="IH43" s="156"/>
      <c r="II43" s="156"/>
      <c r="IJ43" s="156"/>
      <c r="IK43" s="156"/>
      <c r="IL43" s="156"/>
      <c r="IM43" s="156"/>
      <c r="IN43" s="156"/>
      <c r="IO43" s="156"/>
      <c r="IP43" s="156"/>
      <c r="IQ43" s="156"/>
    </row>
    <row r="44" spans="1:251" x14ac:dyDescent="0.25">
      <c r="H44" s="179"/>
      <c r="I44" s="179"/>
    </row>
    <row r="45" spans="1:251" x14ac:dyDescent="0.25">
      <c r="C45" s="53" t="s">
        <v>154</v>
      </c>
      <c r="D45" s="53" t="s">
        <v>166</v>
      </c>
      <c r="E45" s="53" t="s">
        <v>35</v>
      </c>
      <c r="F45" s="53" t="s">
        <v>66</v>
      </c>
      <c r="H45" s="53" t="s">
        <v>154</v>
      </c>
      <c r="I45" s="53" t="s">
        <v>66</v>
      </c>
    </row>
    <row r="46" spans="1:251" s="50" customFormat="1" x14ac:dyDescent="0.25">
      <c r="A46" s="154"/>
      <c r="C46" s="30" t="s">
        <v>157</v>
      </c>
      <c r="D46" s="30" t="s">
        <v>36</v>
      </c>
      <c r="E46" s="72">
        <f>(G38+G39)/100</f>
        <v>135.96</v>
      </c>
      <c r="F46" s="72">
        <f>E46*J5</f>
        <v>14.819640000000001</v>
      </c>
      <c r="H46" s="30" t="s">
        <v>157</v>
      </c>
      <c r="I46" s="198">
        <f>F46</f>
        <v>14.819640000000001</v>
      </c>
      <c r="K46" s="155"/>
      <c r="L46" s="155"/>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V46" s="156"/>
      <c r="BW46" s="156"/>
      <c r="BX46" s="156"/>
      <c r="BY46" s="156"/>
      <c r="BZ46" s="156"/>
      <c r="CA46" s="156"/>
      <c r="CB46" s="156"/>
      <c r="CC46" s="156"/>
      <c r="CD46" s="156"/>
      <c r="CE46" s="156"/>
      <c r="CF46" s="156"/>
      <c r="CG46" s="156"/>
      <c r="CH46" s="156"/>
      <c r="CI46" s="156"/>
      <c r="CJ46" s="156"/>
      <c r="CK46" s="156"/>
      <c r="CL46" s="156"/>
      <c r="CM46" s="156"/>
      <c r="CN46" s="156"/>
      <c r="CO46" s="156"/>
      <c r="CP46" s="156"/>
      <c r="CQ46" s="156"/>
      <c r="CR46" s="156"/>
      <c r="CS46" s="156"/>
      <c r="CT46" s="156"/>
      <c r="CU46" s="156"/>
      <c r="CV46" s="156"/>
      <c r="CW46" s="156"/>
      <c r="CX46" s="156"/>
      <c r="CY46" s="156"/>
      <c r="CZ46" s="156"/>
      <c r="DA46" s="156"/>
      <c r="DB46" s="156"/>
      <c r="DC46" s="156"/>
      <c r="DD46" s="156"/>
      <c r="DE46" s="156"/>
      <c r="DF46" s="156"/>
      <c r="DG46" s="156"/>
      <c r="DH46" s="156"/>
      <c r="DI46" s="156"/>
      <c r="DJ46" s="156"/>
      <c r="DK46" s="156"/>
      <c r="DL46" s="156"/>
      <c r="DM46" s="156"/>
      <c r="DN46" s="156"/>
      <c r="DO46" s="156"/>
      <c r="DP46" s="156"/>
      <c r="DQ46" s="156"/>
      <c r="DR46" s="156"/>
      <c r="DS46" s="156"/>
      <c r="DT46" s="156"/>
      <c r="DU46" s="156"/>
      <c r="DV46" s="156"/>
      <c r="DW46" s="156"/>
      <c r="DX46" s="156"/>
      <c r="DY46" s="156"/>
      <c r="DZ46" s="156"/>
      <c r="EA46" s="156"/>
      <c r="EB46" s="156"/>
      <c r="EC46" s="156"/>
      <c r="ED46" s="156"/>
      <c r="EE46" s="156"/>
      <c r="EF46" s="156"/>
      <c r="EG46" s="156"/>
      <c r="EH46" s="156"/>
      <c r="EI46" s="156"/>
      <c r="EJ46" s="156"/>
      <c r="EK46" s="156"/>
      <c r="EL46" s="156"/>
      <c r="EM46" s="156"/>
      <c r="EN46" s="156"/>
      <c r="EO46" s="156"/>
      <c r="EP46" s="156"/>
      <c r="EQ46" s="156"/>
      <c r="ER46" s="156"/>
      <c r="ES46" s="156"/>
      <c r="ET46" s="156"/>
      <c r="EU46" s="156"/>
      <c r="EV46" s="156"/>
      <c r="EW46" s="156"/>
      <c r="EX46" s="156"/>
      <c r="EY46" s="156"/>
      <c r="EZ46" s="156"/>
      <c r="FA46" s="156"/>
      <c r="FB46" s="156"/>
      <c r="FC46" s="156"/>
      <c r="FD46" s="156"/>
      <c r="FE46" s="156"/>
      <c r="FF46" s="156"/>
      <c r="FG46" s="156"/>
      <c r="FH46" s="156"/>
      <c r="FI46" s="156"/>
      <c r="FJ46" s="156"/>
      <c r="FK46" s="156"/>
      <c r="FL46" s="156"/>
      <c r="FM46" s="156"/>
      <c r="FN46" s="156"/>
      <c r="FO46" s="156"/>
      <c r="FP46" s="156"/>
      <c r="FQ46" s="156"/>
      <c r="FR46" s="156"/>
      <c r="FS46" s="156"/>
      <c r="FT46" s="156"/>
      <c r="FU46" s="156"/>
      <c r="FV46" s="156"/>
      <c r="FW46" s="156"/>
      <c r="FX46" s="156"/>
      <c r="FY46" s="156"/>
      <c r="FZ46" s="156"/>
      <c r="GA46" s="156"/>
      <c r="GB46" s="156"/>
      <c r="GC46" s="156"/>
      <c r="GD46" s="156"/>
      <c r="GE46" s="156"/>
      <c r="GF46" s="156"/>
      <c r="GG46" s="156"/>
      <c r="GH46" s="156"/>
      <c r="GI46" s="156"/>
      <c r="GJ46" s="156"/>
      <c r="GK46" s="156"/>
      <c r="GL46" s="156"/>
      <c r="GM46" s="156"/>
      <c r="GN46" s="156"/>
      <c r="GO46" s="156"/>
      <c r="GP46" s="156"/>
      <c r="GQ46" s="156"/>
      <c r="GR46" s="156"/>
      <c r="GS46" s="156"/>
      <c r="GT46" s="156"/>
      <c r="GU46" s="156"/>
      <c r="GV46" s="156"/>
      <c r="GW46" s="156"/>
      <c r="GX46" s="156"/>
      <c r="GY46" s="156"/>
      <c r="GZ46" s="156"/>
      <c r="HA46" s="156"/>
      <c r="HB46" s="156"/>
      <c r="HC46" s="156"/>
      <c r="HD46" s="156"/>
      <c r="HE46" s="156"/>
      <c r="HF46" s="156"/>
      <c r="HG46" s="156"/>
      <c r="HH46" s="156"/>
      <c r="HI46" s="156"/>
      <c r="HJ46" s="156"/>
      <c r="HK46" s="156"/>
      <c r="HL46" s="156"/>
      <c r="HM46" s="156"/>
      <c r="HN46" s="156"/>
      <c r="HO46" s="156"/>
      <c r="HP46" s="156"/>
      <c r="HQ46" s="156"/>
      <c r="HR46" s="156"/>
      <c r="HS46" s="156"/>
      <c r="HT46" s="156"/>
      <c r="HU46" s="156"/>
      <c r="HV46" s="156"/>
      <c r="HW46" s="156"/>
      <c r="HX46" s="156"/>
      <c r="HY46" s="156"/>
      <c r="HZ46" s="156"/>
      <c r="IA46" s="156"/>
      <c r="IB46" s="156"/>
      <c r="IC46" s="156"/>
      <c r="ID46" s="156"/>
      <c r="IE46" s="156"/>
      <c r="IF46" s="156"/>
      <c r="IG46" s="156"/>
      <c r="IH46" s="156"/>
      <c r="II46" s="156"/>
      <c r="IJ46" s="156"/>
      <c r="IK46" s="156"/>
      <c r="IL46" s="156"/>
      <c r="IM46" s="156"/>
      <c r="IN46" s="156"/>
      <c r="IO46" s="156"/>
      <c r="IP46" s="156"/>
      <c r="IQ46" s="156"/>
    </row>
    <row r="47" spans="1:251" s="50" customFormat="1" x14ac:dyDescent="0.25">
      <c r="A47" s="154"/>
      <c r="C47" s="30" t="s">
        <v>159</v>
      </c>
      <c r="D47" s="30">
        <v>8</v>
      </c>
      <c r="E47" s="72">
        <f>(G40+G41+G42)/100</f>
        <v>169.6</v>
      </c>
      <c r="F47" s="72">
        <f>E47*J8</f>
        <v>66.652799999999999</v>
      </c>
      <c r="H47" s="30" t="s">
        <v>159</v>
      </c>
      <c r="I47" s="198">
        <f>F47+F48</f>
        <v>93.909120000000001</v>
      </c>
      <c r="K47" s="155"/>
      <c r="L47" s="155"/>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156"/>
      <c r="CS47" s="156"/>
      <c r="CT47" s="156"/>
      <c r="CU47" s="156"/>
      <c r="CV47" s="156"/>
      <c r="CW47" s="156"/>
      <c r="CX47" s="156"/>
      <c r="CY47" s="156"/>
      <c r="CZ47" s="156"/>
      <c r="DA47" s="156"/>
      <c r="DB47" s="156"/>
      <c r="DC47" s="156"/>
      <c r="DD47" s="156"/>
      <c r="DE47" s="156"/>
      <c r="DF47" s="156"/>
      <c r="DG47" s="156"/>
      <c r="DH47" s="156"/>
      <c r="DI47" s="156"/>
      <c r="DJ47" s="156"/>
      <c r="DK47" s="156"/>
      <c r="DL47" s="156"/>
      <c r="DM47" s="156"/>
      <c r="DN47" s="156"/>
      <c r="DO47" s="156"/>
      <c r="DP47" s="156"/>
      <c r="DQ47" s="156"/>
      <c r="DR47" s="156"/>
      <c r="DS47" s="156"/>
      <c r="DT47" s="156"/>
      <c r="DU47" s="156"/>
      <c r="DV47" s="156"/>
      <c r="DW47" s="156"/>
      <c r="DX47" s="156"/>
      <c r="DY47" s="156"/>
      <c r="DZ47" s="156"/>
      <c r="EA47" s="156"/>
      <c r="EB47" s="156"/>
      <c r="EC47" s="156"/>
      <c r="ED47" s="156"/>
      <c r="EE47" s="156"/>
      <c r="EF47" s="156"/>
      <c r="EG47" s="156"/>
      <c r="EH47" s="156"/>
      <c r="EI47" s="156"/>
      <c r="EJ47" s="156"/>
      <c r="EK47" s="156"/>
      <c r="EL47" s="156"/>
      <c r="EM47" s="156"/>
      <c r="EN47" s="156"/>
      <c r="EO47" s="156"/>
      <c r="EP47" s="156"/>
      <c r="EQ47" s="156"/>
      <c r="ER47" s="156"/>
      <c r="ES47" s="156"/>
      <c r="ET47" s="156"/>
      <c r="EU47" s="156"/>
      <c r="EV47" s="156"/>
      <c r="EW47" s="156"/>
      <c r="EX47" s="156"/>
      <c r="EY47" s="156"/>
      <c r="EZ47" s="156"/>
      <c r="FA47" s="156"/>
      <c r="FB47" s="156"/>
      <c r="FC47" s="156"/>
      <c r="FD47" s="156"/>
      <c r="FE47" s="156"/>
      <c r="FF47" s="156"/>
      <c r="FG47" s="156"/>
      <c r="FH47" s="156"/>
      <c r="FI47" s="156"/>
      <c r="FJ47" s="156"/>
      <c r="FK47" s="156"/>
      <c r="FL47" s="156"/>
      <c r="FM47" s="156"/>
      <c r="FN47" s="156"/>
      <c r="FO47" s="156"/>
      <c r="FP47" s="156"/>
      <c r="FQ47" s="156"/>
      <c r="FR47" s="156"/>
      <c r="FS47" s="156"/>
      <c r="FT47" s="156"/>
      <c r="FU47" s="156"/>
      <c r="FV47" s="156"/>
      <c r="FW47" s="156"/>
      <c r="FX47" s="156"/>
      <c r="FY47" s="156"/>
      <c r="FZ47" s="156"/>
      <c r="GA47" s="156"/>
      <c r="GB47" s="156"/>
      <c r="GC47" s="156"/>
      <c r="GD47" s="156"/>
      <c r="GE47" s="156"/>
      <c r="GF47" s="156"/>
      <c r="GG47" s="156"/>
      <c r="GH47" s="156"/>
      <c r="GI47" s="156"/>
      <c r="GJ47" s="156"/>
      <c r="GK47" s="156"/>
      <c r="GL47" s="156"/>
      <c r="GM47" s="156"/>
      <c r="GN47" s="156"/>
      <c r="GO47" s="156"/>
      <c r="GP47" s="156"/>
      <c r="GQ47" s="156"/>
      <c r="GR47" s="156"/>
      <c r="GS47" s="156"/>
      <c r="GT47" s="156"/>
      <c r="GU47" s="156"/>
      <c r="GV47" s="156"/>
      <c r="GW47" s="156"/>
      <c r="GX47" s="156"/>
      <c r="GY47" s="156"/>
      <c r="GZ47" s="156"/>
      <c r="HA47" s="156"/>
      <c r="HB47" s="156"/>
      <c r="HC47" s="156"/>
      <c r="HD47" s="156"/>
      <c r="HE47" s="156"/>
      <c r="HF47" s="156"/>
      <c r="HG47" s="156"/>
      <c r="HH47" s="156"/>
      <c r="HI47" s="156"/>
      <c r="HJ47" s="156"/>
      <c r="HK47" s="156"/>
      <c r="HL47" s="156"/>
      <c r="HM47" s="156"/>
      <c r="HN47" s="156"/>
      <c r="HO47" s="156"/>
      <c r="HP47" s="156"/>
      <c r="HQ47" s="156"/>
      <c r="HR47" s="156"/>
      <c r="HS47" s="156"/>
      <c r="HT47" s="156"/>
      <c r="HU47" s="156"/>
      <c r="HV47" s="156"/>
      <c r="HW47" s="156"/>
      <c r="HX47" s="156"/>
      <c r="HY47" s="156"/>
      <c r="HZ47" s="156"/>
      <c r="IA47" s="156"/>
      <c r="IB47" s="156"/>
      <c r="IC47" s="156"/>
      <c r="ID47" s="156"/>
      <c r="IE47" s="156"/>
      <c r="IF47" s="156"/>
      <c r="IG47" s="156"/>
      <c r="IH47" s="156"/>
      <c r="II47" s="156"/>
      <c r="IJ47" s="156"/>
      <c r="IK47" s="156"/>
      <c r="IL47" s="156"/>
      <c r="IM47" s="156"/>
      <c r="IN47" s="156"/>
      <c r="IO47" s="156"/>
      <c r="IP47" s="156"/>
      <c r="IQ47" s="156"/>
    </row>
    <row r="48" spans="1:251" s="50" customFormat="1" x14ac:dyDescent="0.25">
      <c r="A48" s="154"/>
      <c r="C48" s="30" t="s">
        <v>159</v>
      </c>
      <c r="D48" s="30">
        <v>10</v>
      </c>
      <c r="E48" s="72">
        <f>G43/100</f>
        <v>43.68</v>
      </c>
      <c r="F48" s="72">
        <f>E48*J9</f>
        <v>27.256319999999999</v>
      </c>
      <c r="I48" s="174">
        <f>SUM(I46:I47)</f>
        <v>108.72876000000001</v>
      </c>
      <c r="K48" s="155"/>
      <c r="L48" s="155"/>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c r="BV48" s="156"/>
      <c r="BW48" s="156"/>
      <c r="BX48" s="156"/>
      <c r="BY48" s="156"/>
      <c r="BZ48" s="156"/>
      <c r="CA48" s="156"/>
      <c r="CB48" s="156"/>
      <c r="CC48" s="156"/>
      <c r="CD48" s="156"/>
      <c r="CE48" s="156"/>
      <c r="CF48" s="156"/>
      <c r="CG48" s="156"/>
      <c r="CH48" s="156"/>
      <c r="CI48" s="156"/>
      <c r="CJ48" s="156"/>
      <c r="CK48" s="156"/>
      <c r="CL48" s="156"/>
      <c r="CM48" s="156"/>
      <c r="CN48" s="156"/>
      <c r="CO48" s="156"/>
      <c r="CP48" s="156"/>
      <c r="CQ48" s="156"/>
      <c r="CR48" s="156"/>
      <c r="CS48" s="156"/>
      <c r="CT48" s="156"/>
      <c r="CU48" s="156"/>
      <c r="CV48" s="156"/>
      <c r="CW48" s="156"/>
      <c r="CX48" s="156"/>
      <c r="CY48" s="156"/>
      <c r="CZ48" s="156"/>
      <c r="DA48" s="156"/>
      <c r="DB48" s="156"/>
      <c r="DC48" s="156"/>
      <c r="DD48" s="156"/>
      <c r="DE48" s="156"/>
      <c r="DF48" s="156"/>
      <c r="DG48" s="156"/>
      <c r="DH48" s="156"/>
      <c r="DI48" s="156"/>
      <c r="DJ48" s="156"/>
      <c r="DK48" s="156"/>
      <c r="DL48" s="156"/>
      <c r="DM48" s="156"/>
      <c r="DN48" s="156"/>
      <c r="DO48" s="156"/>
      <c r="DP48" s="156"/>
      <c r="DQ48" s="156"/>
      <c r="DR48" s="156"/>
      <c r="DS48" s="156"/>
      <c r="DT48" s="156"/>
      <c r="DU48" s="156"/>
      <c r="DV48" s="156"/>
      <c r="DW48" s="156"/>
      <c r="DX48" s="156"/>
      <c r="DY48" s="156"/>
      <c r="DZ48" s="156"/>
      <c r="EA48" s="156"/>
      <c r="EB48" s="156"/>
      <c r="EC48" s="156"/>
      <c r="ED48" s="156"/>
      <c r="EE48" s="156"/>
      <c r="EF48" s="156"/>
      <c r="EG48" s="156"/>
      <c r="EH48" s="156"/>
      <c r="EI48" s="156"/>
      <c r="EJ48" s="156"/>
      <c r="EK48" s="156"/>
      <c r="EL48" s="156"/>
      <c r="EM48" s="156"/>
      <c r="EN48" s="156"/>
      <c r="EO48" s="156"/>
      <c r="EP48" s="156"/>
      <c r="EQ48" s="156"/>
      <c r="ER48" s="156"/>
      <c r="ES48" s="156"/>
      <c r="ET48" s="156"/>
      <c r="EU48" s="156"/>
      <c r="EV48" s="156"/>
      <c r="EW48" s="156"/>
      <c r="EX48" s="156"/>
      <c r="EY48" s="156"/>
      <c r="EZ48" s="156"/>
      <c r="FA48" s="156"/>
      <c r="FB48" s="156"/>
      <c r="FC48" s="156"/>
      <c r="FD48" s="156"/>
      <c r="FE48" s="156"/>
      <c r="FF48" s="156"/>
      <c r="FG48" s="156"/>
      <c r="FH48" s="156"/>
      <c r="FI48" s="156"/>
      <c r="FJ48" s="156"/>
      <c r="FK48" s="156"/>
      <c r="FL48" s="156"/>
      <c r="FM48" s="156"/>
      <c r="FN48" s="156"/>
      <c r="FO48" s="156"/>
      <c r="FP48" s="156"/>
      <c r="FQ48" s="156"/>
      <c r="FR48" s="156"/>
      <c r="FS48" s="156"/>
      <c r="FT48" s="156"/>
      <c r="FU48" s="156"/>
      <c r="FV48" s="156"/>
      <c r="FW48" s="156"/>
      <c r="FX48" s="156"/>
      <c r="FY48" s="156"/>
      <c r="FZ48" s="156"/>
      <c r="GA48" s="156"/>
      <c r="GB48" s="156"/>
      <c r="GC48" s="156"/>
      <c r="GD48" s="156"/>
      <c r="GE48" s="156"/>
      <c r="GF48" s="156"/>
      <c r="GG48" s="156"/>
      <c r="GH48" s="156"/>
      <c r="GI48" s="156"/>
      <c r="GJ48" s="156"/>
      <c r="GK48" s="156"/>
      <c r="GL48" s="156"/>
      <c r="GM48" s="156"/>
      <c r="GN48" s="156"/>
      <c r="GO48" s="156"/>
      <c r="GP48" s="156"/>
      <c r="GQ48" s="156"/>
      <c r="GR48" s="156"/>
      <c r="GS48" s="156"/>
      <c r="GT48" s="156"/>
      <c r="GU48" s="156"/>
      <c r="GV48" s="156"/>
      <c r="GW48" s="156"/>
      <c r="GX48" s="156"/>
      <c r="GY48" s="156"/>
      <c r="GZ48" s="156"/>
      <c r="HA48" s="156"/>
      <c r="HB48" s="156"/>
      <c r="HC48" s="156"/>
      <c r="HD48" s="156"/>
      <c r="HE48" s="156"/>
      <c r="HF48" s="156"/>
      <c r="HG48" s="156"/>
      <c r="HH48" s="156"/>
      <c r="HI48" s="156"/>
      <c r="HJ48" s="156"/>
      <c r="HK48" s="156"/>
      <c r="HL48" s="156"/>
      <c r="HM48" s="156"/>
      <c r="HN48" s="156"/>
      <c r="HO48" s="156"/>
      <c r="HP48" s="156"/>
      <c r="HQ48" s="156"/>
      <c r="HR48" s="156"/>
      <c r="HS48" s="156"/>
      <c r="HT48" s="156"/>
      <c r="HU48" s="156"/>
      <c r="HV48" s="156"/>
      <c r="HW48" s="156"/>
      <c r="HX48" s="156"/>
      <c r="HY48" s="156"/>
      <c r="HZ48" s="156"/>
      <c r="IA48" s="156"/>
      <c r="IB48" s="156"/>
      <c r="IC48" s="156"/>
      <c r="ID48" s="156"/>
      <c r="IE48" s="156"/>
      <c r="IF48" s="156"/>
      <c r="IG48" s="156"/>
      <c r="IH48" s="156"/>
      <c r="II48" s="156"/>
      <c r="IJ48" s="156"/>
      <c r="IK48" s="156"/>
      <c r="IL48" s="156"/>
      <c r="IM48" s="156"/>
      <c r="IN48" s="156"/>
      <c r="IO48" s="156"/>
      <c r="IP48" s="156"/>
      <c r="IQ48" s="156"/>
    </row>
    <row r="49" spans="1:251" s="50" customFormat="1" x14ac:dyDescent="0.25">
      <c r="A49" s="154"/>
      <c r="K49" s="155"/>
      <c r="L49" s="155"/>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c r="BZ49" s="156"/>
      <c r="CA49" s="156"/>
      <c r="CB49" s="156"/>
      <c r="CC49" s="156"/>
      <c r="CD49" s="156"/>
      <c r="CE49" s="156"/>
      <c r="CF49" s="156"/>
      <c r="CG49" s="156"/>
      <c r="CH49" s="156"/>
      <c r="CI49" s="156"/>
      <c r="CJ49" s="156"/>
      <c r="CK49" s="156"/>
      <c r="CL49" s="156"/>
      <c r="CM49" s="156"/>
      <c r="CN49" s="156"/>
      <c r="CO49" s="156"/>
      <c r="CP49" s="156"/>
      <c r="CQ49" s="156"/>
      <c r="CR49" s="156"/>
      <c r="CS49" s="156"/>
      <c r="CT49" s="156"/>
      <c r="CU49" s="156"/>
      <c r="CV49" s="156"/>
      <c r="CW49" s="156"/>
      <c r="CX49" s="156"/>
      <c r="CY49" s="156"/>
      <c r="CZ49" s="156"/>
      <c r="DA49" s="156"/>
      <c r="DB49" s="156"/>
      <c r="DC49" s="156"/>
      <c r="DD49" s="156"/>
      <c r="DE49" s="156"/>
      <c r="DF49" s="156"/>
      <c r="DG49" s="156"/>
      <c r="DH49" s="156"/>
      <c r="DI49" s="156"/>
      <c r="DJ49" s="156"/>
      <c r="DK49" s="156"/>
      <c r="DL49" s="156"/>
      <c r="DM49" s="156"/>
      <c r="DN49" s="156"/>
      <c r="DO49" s="156"/>
      <c r="DP49" s="156"/>
      <c r="DQ49" s="156"/>
      <c r="DR49" s="156"/>
      <c r="DS49" s="156"/>
      <c r="DT49" s="156"/>
      <c r="DU49" s="156"/>
      <c r="DV49" s="156"/>
      <c r="DW49" s="156"/>
      <c r="DX49" s="156"/>
      <c r="DY49" s="156"/>
      <c r="DZ49" s="156"/>
      <c r="EA49" s="156"/>
      <c r="EB49" s="156"/>
      <c r="EC49" s="156"/>
      <c r="ED49" s="156"/>
      <c r="EE49" s="156"/>
      <c r="EF49" s="156"/>
      <c r="EG49" s="156"/>
      <c r="EH49" s="156"/>
      <c r="EI49" s="156"/>
      <c r="EJ49" s="156"/>
      <c r="EK49" s="156"/>
      <c r="EL49" s="156"/>
      <c r="EM49" s="156"/>
      <c r="EN49" s="156"/>
      <c r="EO49" s="156"/>
      <c r="EP49" s="156"/>
      <c r="EQ49" s="156"/>
      <c r="ER49" s="156"/>
      <c r="ES49" s="156"/>
      <c r="ET49" s="156"/>
      <c r="EU49" s="156"/>
      <c r="EV49" s="156"/>
      <c r="EW49" s="156"/>
      <c r="EX49" s="156"/>
      <c r="EY49" s="156"/>
      <c r="EZ49" s="156"/>
      <c r="FA49" s="156"/>
      <c r="FB49" s="156"/>
      <c r="FC49" s="156"/>
      <c r="FD49" s="156"/>
      <c r="FE49" s="156"/>
      <c r="FF49" s="156"/>
      <c r="FG49" s="156"/>
      <c r="FH49" s="156"/>
      <c r="FI49" s="156"/>
      <c r="FJ49" s="156"/>
      <c r="FK49" s="156"/>
      <c r="FL49" s="156"/>
      <c r="FM49" s="156"/>
      <c r="FN49" s="156"/>
      <c r="FO49" s="156"/>
      <c r="FP49" s="156"/>
      <c r="FQ49" s="156"/>
      <c r="FR49" s="156"/>
      <c r="FS49" s="156"/>
      <c r="FT49" s="156"/>
      <c r="FU49" s="156"/>
      <c r="FV49" s="156"/>
      <c r="FW49" s="156"/>
      <c r="FX49" s="156"/>
      <c r="FY49" s="156"/>
      <c r="FZ49" s="156"/>
      <c r="GA49" s="156"/>
      <c r="GB49" s="156"/>
      <c r="GC49" s="156"/>
      <c r="GD49" s="156"/>
      <c r="GE49" s="156"/>
      <c r="GF49" s="156"/>
      <c r="GG49" s="156"/>
      <c r="GH49" s="156"/>
      <c r="GI49" s="156"/>
      <c r="GJ49" s="156"/>
      <c r="GK49" s="156"/>
      <c r="GL49" s="156"/>
      <c r="GM49" s="156"/>
      <c r="GN49" s="156"/>
      <c r="GO49" s="156"/>
      <c r="GP49" s="156"/>
      <c r="GQ49" s="156"/>
      <c r="GR49" s="156"/>
      <c r="GS49" s="156"/>
      <c r="GT49" s="156"/>
      <c r="GU49" s="156"/>
      <c r="GV49" s="156"/>
      <c r="GW49" s="156"/>
      <c r="GX49" s="156"/>
      <c r="GY49" s="156"/>
      <c r="GZ49" s="156"/>
      <c r="HA49" s="156"/>
      <c r="HB49" s="156"/>
      <c r="HC49" s="156"/>
      <c r="HD49" s="156"/>
      <c r="HE49" s="156"/>
      <c r="HF49" s="156"/>
      <c r="HG49" s="156"/>
      <c r="HH49" s="156"/>
      <c r="HI49" s="156"/>
      <c r="HJ49" s="156"/>
      <c r="HK49" s="156"/>
      <c r="HL49" s="156"/>
      <c r="HM49" s="156"/>
      <c r="HN49" s="156"/>
      <c r="HO49" s="156"/>
      <c r="HP49" s="156"/>
      <c r="HQ49" s="156"/>
      <c r="HR49" s="156"/>
      <c r="HS49" s="156"/>
      <c r="HT49" s="156"/>
      <c r="HU49" s="156"/>
      <c r="HV49" s="156"/>
      <c r="HW49" s="156"/>
      <c r="HX49" s="156"/>
      <c r="HY49" s="156"/>
      <c r="HZ49" s="156"/>
      <c r="IA49" s="156"/>
      <c r="IB49" s="156"/>
      <c r="IC49" s="156"/>
      <c r="ID49" s="156"/>
      <c r="IE49" s="156"/>
      <c r="IF49" s="156"/>
      <c r="IG49" s="156"/>
      <c r="IH49" s="156"/>
      <c r="II49" s="156"/>
      <c r="IJ49" s="156"/>
      <c r="IK49" s="156"/>
      <c r="IL49" s="156"/>
      <c r="IM49" s="156"/>
      <c r="IN49" s="156"/>
      <c r="IO49" s="156"/>
      <c r="IP49" s="156"/>
      <c r="IQ49" s="156"/>
    </row>
  </sheetData>
  <mergeCells count="18">
    <mergeCell ref="A1:Q1"/>
    <mergeCell ref="L17:L18"/>
    <mergeCell ref="L20:L21"/>
    <mergeCell ref="L23:L24"/>
    <mergeCell ref="L26:L27"/>
    <mergeCell ref="L29:L30"/>
    <mergeCell ref="A23:A25"/>
    <mergeCell ref="B23:B24"/>
    <mergeCell ref="A26:A28"/>
    <mergeCell ref="B26:B27"/>
    <mergeCell ref="A29:A31"/>
    <mergeCell ref="B29:B30"/>
    <mergeCell ref="H3:J3"/>
    <mergeCell ref="A17:A19"/>
    <mergeCell ref="B17:B18"/>
    <mergeCell ref="A15:A16"/>
    <mergeCell ref="A20:A22"/>
    <mergeCell ref="B20:B21"/>
  </mergeCells>
  <pageMargins left="0.511811024" right="0.511811024" top="0.78740157499999996" bottom="0.78740157499999996" header="0.31496062000000002" footer="0.31496062000000002"/>
  <pageSetup paperSize="9" scale="6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6</vt:i4>
      </vt:variant>
    </vt:vector>
  </HeadingPairs>
  <TitlesOfParts>
    <vt:vector size="10" baseType="lpstr">
      <vt:lpstr>PLAN ORÇ</vt:lpstr>
      <vt:lpstr>MM CALC</vt:lpstr>
      <vt:lpstr>CRON</vt:lpstr>
      <vt:lpstr>MM CALC AÇO</vt:lpstr>
      <vt:lpstr>CRON!Area_de_impressao</vt:lpstr>
      <vt:lpstr>'MM CALC'!Area_de_impressao</vt:lpstr>
      <vt:lpstr>'PLAN ORÇ'!Area_de_impressao</vt:lpstr>
      <vt:lpstr>Fonte</vt:lpstr>
      <vt:lpstr>'MM CALC'!Titulos_de_impressao</vt:lpstr>
      <vt:lpstr>'PLAN ORÇ'!Titulos_de_impressao</vt:lpstr>
    </vt:vector>
  </TitlesOfParts>
  <Company>EMPRESARIAL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PRISCILA DE PAULA</cp:lastModifiedBy>
  <cp:lastPrinted>2024-09-02T12:45:10Z</cp:lastPrinted>
  <dcterms:created xsi:type="dcterms:W3CDTF">2010-03-02T12:32:19Z</dcterms:created>
  <dcterms:modified xsi:type="dcterms:W3CDTF">2024-09-02T12:45:15Z</dcterms:modified>
</cp:coreProperties>
</file>